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95" windowHeight="11880" firstSheet="1" activeTab="1"/>
  </bookViews>
  <sheets>
    <sheet name="присмотр и уход" sheetId="1" state="hidden" r:id="rId1"/>
    <sheet name="школы 2023-25 расчет с советник" sheetId="2" r:id="rId2"/>
  </sheets>
  <definedNames>
    <definedName name="_xlnm.Print_Area" localSheetId="1">'школы 2023-25 расчет с советник'!$A$1:$Y$73</definedName>
  </definedNames>
  <calcPr fullCalcOnLoad="1"/>
</workbook>
</file>

<file path=xl/sharedStrings.xml><?xml version="1.0" encoding="utf-8"?>
<sst xmlns="http://schemas.openxmlformats.org/spreadsheetml/2006/main" count="173" uniqueCount="88">
  <si>
    <t>МАОУ СОШ №3</t>
  </si>
  <si>
    <t>чел.</t>
  </si>
  <si>
    <t>Учреждение</t>
  </si>
  <si>
    <t>ФОТ педагогов</t>
  </si>
  <si>
    <t>Учебная лит-ра</t>
  </si>
  <si>
    <t>Мат.затраты</t>
  </si>
  <si>
    <t>Итого</t>
  </si>
  <si>
    <t>Норматив на 1 единицу</t>
  </si>
  <si>
    <t>МБДОУ д/с "Теремок"</t>
  </si>
  <si>
    <t>МБДОУ д/с "Подснежник"</t>
  </si>
  <si>
    <t>МБДОУ д/с "Серебряное копытце"</t>
  </si>
  <si>
    <t>МБДОУ д/с "Брусничка"</t>
  </si>
  <si>
    <t>МАДОУ СЦРР д/с "Золотой ключик"</t>
  </si>
  <si>
    <t>Итого дошкольные учреждения</t>
  </si>
  <si>
    <t>Базовый норматив затрат, непосредственно связанных с оказанием услуги</t>
  </si>
  <si>
    <t>Базовый норматив затрат на общехозяйственные нужды</t>
  </si>
  <si>
    <t>Ком. услуги</t>
  </si>
  <si>
    <t>ФОТ АУП, УВП, МОП</t>
  </si>
  <si>
    <t>Услуги связи</t>
  </si>
  <si>
    <t>Трансп. услуги</t>
  </si>
  <si>
    <t>Содержание имущества</t>
  </si>
  <si>
    <t>МБОУ ДО ДЮСШ</t>
  </si>
  <si>
    <t>МБОУ ДО ШТЭО</t>
  </si>
  <si>
    <t>МБОУ ДО ДДТ "Эврика"</t>
  </si>
  <si>
    <t>МБОУ ДО ЦНК "Баяр"</t>
  </si>
  <si>
    <t>Итого учреждения дополнительного образования</t>
  </si>
  <si>
    <t>МБОУ ДОД ОЛ "Радуга"</t>
  </si>
  <si>
    <t>Итого базовый норматив</t>
  </si>
  <si>
    <t>Прочие</t>
  </si>
  <si>
    <t>Корректирующий коэффициент</t>
  </si>
  <si>
    <t>Ед.изм.</t>
  </si>
  <si>
    <t>Количество</t>
  </si>
  <si>
    <t>человеко-час</t>
  </si>
  <si>
    <t>2018 год</t>
  </si>
  <si>
    <t>Теремок</t>
  </si>
  <si>
    <t>Подснежник</t>
  </si>
  <si>
    <t>Сер.копытце</t>
  </si>
  <si>
    <t>Брусничка</t>
  </si>
  <si>
    <t>Золотой ключик</t>
  </si>
  <si>
    <t>кол-во детей</t>
  </si>
  <si>
    <t>стоимость 1 дня</t>
  </si>
  <si>
    <t>сумма</t>
  </si>
  <si>
    <t>льготное пит. (бюджет)</t>
  </si>
  <si>
    <t>род.плата</t>
  </si>
  <si>
    <t>ИТОГО</t>
  </si>
  <si>
    <t>кол-во дней</t>
  </si>
  <si>
    <t>Присмотр и уход (к нормативным затратам)</t>
  </si>
  <si>
    <t>Художественное направление</t>
  </si>
  <si>
    <t>Туристско- краеведческое направление</t>
  </si>
  <si>
    <t>Формула по 892 + налог на имущ, усно, земля, трансп</t>
  </si>
  <si>
    <t>штэо</t>
  </si>
  <si>
    <t>учвержедно 01.01.22</t>
  </si>
  <si>
    <t>Техническое направление</t>
  </si>
  <si>
    <t>Художественное направление (дети-инвалиды)</t>
  </si>
  <si>
    <t>Социальное направление</t>
  </si>
  <si>
    <t>эврика</t>
  </si>
  <si>
    <t>Физкультурно-спортивное направление</t>
  </si>
  <si>
    <t xml:space="preserve">Художественное направление </t>
  </si>
  <si>
    <t>Социально-педагогическое направление</t>
  </si>
  <si>
    <t>баяр</t>
  </si>
  <si>
    <t>Командные игровые виды спорта (этап начальной подготвки)</t>
  </si>
  <si>
    <t>Командные игровые виды спорта (тренировочный этап)</t>
  </si>
  <si>
    <t>Сложно-координационные  виды спорта (тренировочный этап)</t>
  </si>
  <si>
    <t>Сложно-координационные виды спорта (этап начальной подготвки)</t>
  </si>
  <si>
    <t>дюсш</t>
  </si>
  <si>
    <t>Итого МБОУ ДО ОЛ Радуга</t>
  </si>
  <si>
    <t>радуга</t>
  </si>
  <si>
    <t>мес</t>
  </si>
  <si>
    <t>Итого учреждения ДЮСШ</t>
  </si>
  <si>
    <t>количество месяцев</t>
  </si>
  <si>
    <t>количество месяцев (летний отдых)</t>
  </si>
  <si>
    <t xml:space="preserve">Начальник ПЭО </t>
  </si>
  <si>
    <t>Кейль С.А.</t>
  </si>
  <si>
    <t>МАОУ СОШ №1</t>
  </si>
  <si>
    <t>МАОУ "Гимназия №5"имени Л.В.Усыниной</t>
  </si>
  <si>
    <t>МАОУ "Лицей №6"</t>
  </si>
  <si>
    <t>МАОУ СОШ №11</t>
  </si>
  <si>
    <t>Реализация основных общеобразовательных программ начального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</si>
  <si>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</si>
  <si>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</si>
  <si>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Итого общеобразовательные учреждения</t>
  </si>
  <si>
    <t>211 год</t>
  </si>
  <si>
    <t>213 год</t>
  </si>
  <si>
    <t>нормативные</t>
  </si>
  <si>
    <t>с налогом</t>
  </si>
  <si>
    <t>Проект расчета нормативных затрат на 2023-2025 года Общеобразовательные учреждения</t>
  </si>
  <si>
    <t>Исп.Мижакова Т.Ю.</t>
  </si>
  <si>
    <t>Приложение № 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</si>
</sst>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"/>
    <numFmt numFmtId="191" formatCode="0.0000"/>
    <numFmt numFmtId="192" formatCode="#,##0.0&quot;р.&quot;"/>
    <numFmt numFmtId="193" formatCode="#,##0.0"/>
    <numFmt numFmtId="194" formatCode="#,##0.00000"/>
    <numFmt numFmtId="195" formatCode="0.0%"/>
  </numFmts>
  <fonts count="5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189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48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189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48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48" fillId="0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9" fontId="1" fillId="35" borderId="10" xfId="0" applyNumberFormat="1" applyFont="1" applyFill="1" applyBorder="1" applyAlignment="1">
      <alignment/>
    </xf>
    <xf numFmtId="4" fontId="1" fillId="35" borderId="0" xfId="0" applyNumberFormat="1" applyFont="1" applyFill="1" applyAlignment="1">
      <alignment/>
    </xf>
    <xf numFmtId="189" fontId="1" fillId="3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189" fontId="1" fillId="4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4" fontId="49" fillId="33" borderId="0" xfId="0" applyNumberFormat="1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right"/>
    </xf>
    <xf numFmtId="0" fontId="1" fillId="35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194" fontId="1" fillId="35" borderId="10" xfId="0" applyNumberFormat="1" applyFont="1" applyFill="1" applyBorder="1" applyAlignment="1">
      <alignment/>
    </xf>
    <xf numFmtId="194" fontId="1" fillId="33" borderId="10" xfId="0" applyNumberFormat="1" applyFont="1" applyFill="1" applyBorder="1" applyAlignment="1">
      <alignment/>
    </xf>
    <xf numFmtId="194" fontId="1" fillId="3" borderId="10" xfId="0" applyNumberFormat="1" applyFont="1" applyFill="1" applyBorder="1" applyAlignment="1">
      <alignment/>
    </xf>
    <xf numFmtId="194" fontId="1" fillId="4" borderId="10" xfId="0" applyNumberFormat="1" applyFont="1" applyFill="1" applyBorder="1" applyAlignment="1">
      <alignment/>
    </xf>
    <xf numFmtId="194" fontId="49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94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9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18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6.00390625" style="0" customWidth="1"/>
    <col min="3" max="3" width="10.140625" style="0" customWidth="1"/>
    <col min="4" max="4" width="8.8515625" style="0" customWidth="1"/>
    <col min="5" max="5" width="14.28125" style="0" customWidth="1"/>
    <col min="6" max="6" width="12.140625" style="0" customWidth="1"/>
    <col min="7" max="7" width="14.140625" style="0" customWidth="1"/>
    <col min="8" max="8" width="10.421875" style="0" customWidth="1"/>
  </cols>
  <sheetData>
    <row r="1" spans="1:7" ht="12.75">
      <c r="A1" s="108" t="s">
        <v>46</v>
      </c>
      <c r="B1" s="108"/>
      <c r="C1" s="108"/>
      <c r="D1" s="108"/>
      <c r="E1" s="108"/>
      <c r="F1" s="108"/>
      <c r="G1" s="108"/>
    </row>
    <row r="3" spans="1:7" ht="12.75">
      <c r="A3" s="105" t="s">
        <v>33</v>
      </c>
      <c r="B3" s="106"/>
      <c r="C3" s="106"/>
      <c r="D3" s="106"/>
      <c r="E3" s="106"/>
      <c r="F3" s="106"/>
      <c r="G3" s="106"/>
    </row>
    <row r="4" spans="1:7" ht="38.25">
      <c r="A4" s="37"/>
      <c r="B4" s="38" t="s">
        <v>39</v>
      </c>
      <c r="C4" s="38" t="s">
        <v>40</v>
      </c>
      <c r="D4" s="39" t="s">
        <v>45</v>
      </c>
      <c r="E4" s="38" t="s">
        <v>41</v>
      </c>
      <c r="F4" s="39" t="s">
        <v>42</v>
      </c>
      <c r="G4" s="39" t="s">
        <v>43</v>
      </c>
    </row>
    <row r="5" spans="1:7" ht="12.75">
      <c r="A5" s="37" t="s">
        <v>34</v>
      </c>
      <c r="B5" s="37">
        <v>249</v>
      </c>
      <c r="C5" s="37">
        <v>177</v>
      </c>
      <c r="D5" s="37">
        <v>154</v>
      </c>
      <c r="E5" s="40">
        <f>B5*C5*D5</f>
        <v>6787242</v>
      </c>
      <c r="F5" s="40">
        <v>374797.5</v>
      </c>
      <c r="G5" s="41">
        <f>E5-F5</f>
        <v>6412444.5</v>
      </c>
    </row>
    <row r="6" spans="1:7" ht="12.75">
      <c r="A6" s="37" t="s">
        <v>35</v>
      </c>
      <c r="B6" s="37">
        <v>273</v>
      </c>
      <c r="C6" s="37">
        <v>177</v>
      </c>
      <c r="D6" s="37">
        <v>154</v>
      </c>
      <c r="E6" s="40">
        <f>B6*C6*D6</f>
        <v>7441434</v>
      </c>
      <c r="F6" s="40">
        <v>572418</v>
      </c>
      <c r="G6" s="41">
        <f>E6-F6</f>
        <v>6869016</v>
      </c>
    </row>
    <row r="7" spans="1:7" ht="12.75">
      <c r="A7" s="37" t="s">
        <v>36</v>
      </c>
      <c r="B7" s="37">
        <v>170</v>
      </c>
      <c r="C7" s="37">
        <v>177</v>
      </c>
      <c r="D7" s="37">
        <v>154</v>
      </c>
      <c r="E7" s="40">
        <f>B7*C7*D7</f>
        <v>4633860</v>
      </c>
      <c r="F7" s="40">
        <v>327096</v>
      </c>
      <c r="G7" s="41">
        <f>E7-F7</f>
        <v>4306764</v>
      </c>
    </row>
    <row r="8" spans="1:7" ht="12.75">
      <c r="A8" s="37" t="s">
        <v>37</v>
      </c>
      <c r="B8" s="37">
        <v>195</v>
      </c>
      <c r="C8" s="37">
        <v>177</v>
      </c>
      <c r="D8" s="37">
        <v>154</v>
      </c>
      <c r="E8" s="40">
        <f>B8*C8*D8</f>
        <v>5315310</v>
      </c>
      <c r="F8" s="40">
        <v>265765.5</v>
      </c>
      <c r="G8" s="41">
        <f>E8-F8</f>
        <v>5049544.5</v>
      </c>
    </row>
    <row r="9" spans="1:7" ht="12.75">
      <c r="A9" s="37" t="s">
        <v>38</v>
      </c>
      <c r="B9" s="37">
        <v>329</v>
      </c>
      <c r="C9" s="37">
        <v>177</v>
      </c>
      <c r="D9" s="37">
        <v>154</v>
      </c>
      <c r="E9" s="40">
        <f>B9*C9*D9</f>
        <v>8967882</v>
      </c>
      <c r="F9" s="40">
        <v>388426.5</v>
      </c>
      <c r="G9" s="41">
        <f>E9-F9</f>
        <v>8579455.5</v>
      </c>
    </row>
    <row r="10" spans="1:7" ht="12.75">
      <c r="A10" s="42" t="s">
        <v>44</v>
      </c>
      <c r="B10" s="42">
        <f>SUM(B5:B9)</f>
        <v>1216</v>
      </c>
      <c r="C10" s="42">
        <v>177</v>
      </c>
      <c r="D10" s="42">
        <v>154</v>
      </c>
      <c r="E10" s="43">
        <f>SUM(E5:E9)</f>
        <v>33145728</v>
      </c>
      <c r="F10" s="43">
        <f>SUM(F5:F9)</f>
        <v>1928503.5</v>
      </c>
      <c r="G10" s="43">
        <f>SUM(G5:G9)</f>
        <v>31217224.5</v>
      </c>
    </row>
    <row r="12" spans="1:7" ht="12.75">
      <c r="A12" s="105">
        <v>2019</v>
      </c>
      <c r="B12" s="106"/>
      <c r="C12" s="106"/>
      <c r="D12" s="106"/>
      <c r="E12" s="106"/>
      <c r="F12" s="106"/>
      <c r="G12" s="107"/>
    </row>
    <row r="13" spans="1:7" ht="38.25">
      <c r="A13" s="37"/>
      <c r="B13" s="38" t="s">
        <v>39</v>
      </c>
      <c r="C13" s="38" t="s">
        <v>40</v>
      </c>
      <c r="D13" s="39" t="s">
        <v>45</v>
      </c>
      <c r="E13" s="38" t="s">
        <v>41</v>
      </c>
      <c r="F13" s="39" t="s">
        <v>42</v>
      </c>
      <c r="G13" s="39" t="s">
        <v>43</v>
      </c>
    </row>
    <row r="14" spans="1:7" ht="12.75">
      <c r="A14" s="37" t="s">
        <v>34</v>
      </c>
      <c r="B14" s="37">
        <v>249</v>
      </c>
      <c r="C14" s="37">
        <v>187</v>
      </c>
      <c r="D14" s="37">
        <v>154</v>
      </c>
      <c r="E14" s="40">
        <f>B14*C14*D14</f>
        <v>7170702</v>
      </c>
      <c r="F14" s="40">
        <v>389789.4</v>
      </c>
      <c r="G14" s="41">
        <f>E14-F14</f>
        <v>6780912.6</v>
      </c>
    </row>
    <row r="15" spans="1:7" ht="12.75">
      <c r="A15" s="37" t="s">
        <v>35</v>
      </c>
      <c r="B15" s="37">
        <v>273</v>
      </c>
      <c r="C15" s="37">
        <v>187</v>
      </c>
      <c r="D15" s="37">
        <v>154</v>
      </c>
      <c r="E15" s="40">
        <f>B15*C15*D15</f>
        <v>7861854</v>
      </c>
      <c r="F15" s="40">
        <v>595314.72</v>
      </c>
      <c r="G15" s="41">
        <f>E15-F15</f>
        <v>7266539.28</v>
      </c>
    </row>
    <row r="16" spans="1:7" ht="12.75">
      <c r="A16" s="37" t="s">
        <v>36</v>
      </c>
      <c r="B16" s="37">
        <v>170</v>
      </c>
      <c r="C16" s="37">
        <v>187</v>
      </c>
      <c r="D16" s="37">
        <v>154</v>
      </c>
      <c r="E16" s="40">
        <f>B16*C16*D16</f>
        <v>4895660</v>
      </c>
      <c r="F16" s="40">
        <v>340179.84</v>
      </c>
      <c r="G16" s="41">
        <f>E16-F16</f>
        <v>4555480.16</v>
      </c>
    </row>
    <row r="17" spans="1:7" ht="12.75">
      <c r="A17" s="37" t="s">
        <v>37</v>
      </c>
      <c r="B17" s="37">
        <v>195</v>
      </c>
      <c r="C17" s="37">
        <v>187</v>
      </c>
      <c r="D17" s="37">
        <v>154</v>
      </c>
      <c r="E17" s="40">
        <f>B17*C17*D17</f>
        <v>5615610</v>
      </c>
      <c r="F17" s="40">
        <v>276396.12</v>
      </c>
      <c r="G17" s="41">
        <f>E17-F17</f>
        <v>5339213.88</v>
      </c>
    </row>
    <row r="18" spans="1:7" ht="12.75">
      <c r="A18" s="37" t="s">
        <v>38</v>
      </c>
      <c r="B18" s="37">
        <v>329</v>
      </c>
      <c r="C18" s="37">
        <v>187</v>
      </c>
      <c r="D18" s="37">
        <v>154</v>
      </c>
      <c r="E18" s="40">
        <f>B18*C18*D18</f>
        <v>9474542</v>
      </c>
      <c r="F18" s="40">
        <v>403963.56</v>
      </c>
      <c r="G18" s="41">
        <f>E18-F18</f>
        <v>9070578.44</v>
      </c>
    </row>
    <row r="19" spans="1:7" ht="12.75">
      <c r="A19" s="42" t="s">
        <v>44</v>
      </c>
      <c r="B19" s="42">
        <f>SUM(B14:B18)</f>
        <v>1216</v>
      </c>
      <c r="C19" s="44">
        <v>187</v>
      </c>
      <c r="D19" s="42">
        <v>154</v>
      </c>
      <c r="E19" s="43">
        <f>SUM(E14:E18)</f>
        <v>35018368</v>
      </c>
      <c r="F19" s="43">
        <f>SUM(F14:F18)</f>
        <v>2005643.6400000001</v>
      </c>
      <c r="G19" s="43">
        <f>SUM(G14:G18)</f>
        <v>33012724.36</v>
      </c>
    </row>
    <row r="21" spans="1:7" ht="12.75">
      <c r="A21" s="105">
        <v>2020</v>
      </c>
      <c r="B21" s="106"/>
      <c r="C21" s="106"/>
      <c r="D21" s="106"/>
      <c r="E21" s="106"/>
      <c r="F21" s="106"/>
      <c r="G21" s="107"/>
    </row>
    <row r="22" spans="1:7" ht="38.25">
      <c r="A22" s="37"/>
      <c r="B22" s="38" t="s">
        <v>39</v>
      </c>
      <c r="C22" s="38" t="s">
        <v>40</v>
      </c>
      <c r="D22" s="39" t="s">
        <v>45</v>
      </c>
      <c r="E22" s="38" t="s">
        <v>41</v>
      </c>
      <c r="F22" s="39" t="s">
        <v>42</v>
      </c>
      <c r="G22" s="39" t="s">
        <v>43</v>
      </c>
    </row>
    <row r="23" spans="1:7" ht="12.75">
      <c r="A23" s="37" t="s">
        <v>34</v>
      </c>
      <c r="B23" s="37">
        <v>249</v>
      </c>
      <c r="C23" s="37">
        <v>197</v>
      </c>
      <c r="D23" s="37">
        <v>154</v>
      </c>
      <c r="E23" s="40">
        <f>B23*C23*D23</f>
        <v>7554162</v>
      </c>
      <c r="F23" s="40">
        <v>405380.98</v>
      </c>
      <c r="G23" s="41">
        <f>E23-F23</f>
        <v>7148781.02</v>
      </c>
    </row>
    <row r="24" spans="1:7" ht="12.75">
      <c r="A24" s="37" t="s">
        <v>35</v>
      </c>
      <c r="B24" s="37">
        <v>273</v>
      </c>
      <c r="C24" s="37">
        <v>197</v>
      </c>
      <c r="D24" s="37">
        <v>154</v>
      </c>
      <c r="E24" s="40">
        <f>B24*C24*D24</f>
        <v>8282274</v>
      </c>
      <c r="F24" s="40">
        <v>619127.31</v>
      </c>
      <c r="G24" s="41">
        <f>E24-F24</f>
        <v>7663146.6899999995</v>
      </c>
    </row>
    <row r="25" spans="1:7" ht="12.75">
      <c r="A25" s="37" t="s">
        <v>36</v>
      </c>
      <c r="B25" s="37">
        <v>170</v>
      </c>
      <c r="C25" s="37">
        <v>197</v>
      </c>
      <c r="D25" s="37">
        <v>154</v>
      </c>
      <c r="E25" s="40">
        <f>B25*C25*D25</f>
        <v>5157460</v>
      </c>
      <c r="F25" s="40">
        <v>353787.03</v>
      </c>
      <c r="G25" s="41">
        <f>E25-F25</f>
        <v>4803672.97</v>
      </c>
    </row>
    <row r="26" spans="1:7" ht="12.75">
      <c r="A26" s="37" t="s">
        <v>37</v>
      </c>
      <c r="B26" s="37">
        <v>195</v>
      </c>
      <c r="C26" s="37">
        <v>197</v>
      </c>
      <c r="D26" s="37">
        <v>154</v>
      </c>
      <c r="E26" s="40">
        <f>B26*C26*D26</f>
        <v>5915910</v>
      </c>
      <c r="F26" s="40">
        <v>287451.96</v>
      </c>
      <c r="G26" s="41">
        <f>E26-F26</f>
        <v>5628458.04</v>
      </c>
    </row>
    <row r="27" spans="1:7" ht="12.75">
      <c r="A27" s="37" t="s">
        <v>38</v>
      </c>
      <c r="B27" s="37">
        <v>329</v>
      </c>
      <c r="C27" s="37">
        <v>197</v>
      </c>
      <c r="D27" s="37">
        <v>154</v>
      </c>
      <c r="E27" s="40">
        <f>B27*C27*D27</f>
        <v>9981202</v>
      </c>
      <c r="F27" s="40">
        <v>420122.1</v>
      </c>
      <c r="G27" s="41">
        <f>E27-F27</f>
        <v>9561079.9</v>
      </c>
    </row>
    <row r="28" spans="1:7" ht="12.75">
      <c r="A28" s="42" t="s">
        <v>44</v>
      </c>
      <c r="B28" s="42">
        <f>SUM(B23:B27)</f>
        <v>1216</v>
      </c>
      <c r="C28" s="44">
        <v>197</v>
      </c>
      <c r="D28" s="42">
        <v>154</v>
      </c>
      <c r="E28" s="43">
        <f>SUM(E23:E27)</f>
        <v>36891008</v>
      </c>
      <c r="F28" s="43">
        <f>SUM(F23:F27)</f>
        <v>2085869.38</v>
      </c>
      <c r="G28" s="43">
        <f>SUM(G23:G27)</f>
        <v>34805138.62</v>
      </c>
    </row>
  </sheetData>
  <sheetProtection/>
  <mergeCells count="4">
    <mergeCell ref="A3:G3"/>
    <mergeCell ref="A12:G12"/>
    <mergeCell ref="A21:G21"/>
    <mergeCell ref="A1:G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tabSelected="1" view="pageBreakPreview" zoomScale="80" zoomScaleSheetLayoutView="80" zoomScalePageLayoutView="0" workbookViewId="0" topLeftCell="A1">
      <pane xSplit="1" topLeftCell="G1" activePane="topRight" state="frozen"/>
      <selection pane="topLeft" activeCell="A1" sqref="A1"/>
      <selection pane="topRight" activeCell="V2" sqref="V2"/>
    </sheetView>
  </sheetViews>
  <sheetFormatPr defaultColWidth="9.140625" defaultRowHeight="12.75"/>
  <cols>
    <col min="1" max="1" width="32.421875" style="2" customWidth="1"/>
    <col min="2" max="2" width="11.00390625" style="2" customWidth="1"/>
    <col min="3" max="3" width="14.8515625" style="1" customWidth="1"/>
    <col min="4" max="4" width="14.57421875" style="0" customWidth="1"/>
    <col min="5" max="5" width="16.140625" style="0" customWidth="1"/>
    <col min="6" max="6" width="15.28125" style="14" customWidth="1"/>
    <col min="7" max="7" width="16.28125" style="3" customWidth="1"/>
    <col min="8" max="8" width="18.421875" style="47" customWidth="1"/>
    <col min="9" max="9" width="14.28125" style="14" customWidth="1"/>
    <col min="10" max="10" width="13.7109375" style="14" customWidth="1"/>
    <col min="11" max="11" width="12.8515625" style="0" customWidth="1"/>
    <col min="12" max="12" width="13.140625" style="0" customWidth="1"/>
    <col min="13" max="13" width="14.28125" style="0" customWidth="1"/>
    <col min="14" max="14" width="13.8515625" style="0" customWidth="1"/>
    <col min="15" max="15" width="12.8515625" style="0" customWidth="1"/>
    <col min="16" max="16" width="12.7109375" style="0" customWidth="1"/>
    <col min="17" max="17" width="14.8515625" style="0" customWidth="1"/>
    <col min="18" max="18" width="12.421875" style="14" customWidth="1"/>
    <col min="19" max="20" width="13.28125" style="14" customWidth="1"/>
    <col min="21" max="21" width="16.421875" style="3" customWidth="1"/>
    <col min="22" max="22" width="14.00390625" style="47" customWidth="1"/>
    <col min="23" max="23" width="13.7109375" style="3" customWidth="1"/>
    <col min="24" max="24" width="11.421875" style="0" customWidth="1"/>
    <col min="25" max="25" width="15.28125" style="0" customWidth="1"/>
    <col min="26" max="26" width="14.57421875" style="0" customWidth="1"/>
    <col min="27" max="27" width="9.57421875" style="0" customWidth="1"/>
    <col min="28" max="28" width="15.7109375" style="0" customWidth="1"/>
    <col min="29" max="29" width="13.57421875" style="0" customWidth="1"/>
    <col min="30" max="30" width="15.57421875" style="0" customWidth="1"/>
    <col min="31" max="31" width="15.7109375" style="0" customWidth="1"/>
  </cols>
  <sheetData>
    <row r="1" spans="1:23" s="14" customFormat="1" ht="12.75">
      <c r="A1" s="24"/>
      <c r="B1" s="24"/>
      <c r="C1" s="25"/>
      <c r="G1" s="26"/>
      <c r="U1" s="26"/>
      <c r="V1" s="15" t="s">
        <v>87</v>
      </c>
      <c r="W1" s="15"/>
    </row>
    <row r="2" spans="1:23" s="14" customFormat="1" ht="12.75">
      <c r="A2" s="24"/>
      <c r="B2" s="24"/>
      <c r="C2" s="25"/>
      <c r="G2" s="26"/>
      <c r="U2" s="26"/>
      <c r="W2" s="15"/>
    </row>
    <row r="3" spans="1:23" s="14" customFormat="1" ht="20.25">
      <c r="A3" s="24"/>
      <c r="B3" s="24"/>
      <c r="C3" s="25"/>
      <c r="D3" s="109" t="s">
        <v>85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15"/>
    </row>
    <row r="4" spans="1:23" s="14" customFormat="1" ht="20.25">
      <c r="A4" s="24"/>
      <c r="B4" s="24"/>
      <c r="C4" s="25"/>
      <c r="D4" s="36"/>
      <c r="G4" s="27"/>
      <c r="K4" s="71"/>
      <c r="L4" s="71"/>
      <c r="M4" s="71"/>
      <c r="N4" s="71"/>
      <c r="U4" s="26"/>
      <c r="W4" s="70"/>
    </row>
    <row r="5" spans="1:23" s="14" customFormat="1" ht="12.75">
      <c r="A5" s="24"/>
      <c r="B5" s="24"/>
      <c r="C5" s="25"/>
      <c r="D5" s="15"/>
      <c r="G5" s="27"/>
      <c r="U5" s="26"/>
      <c r="W5" s="15"/>
    </row>
    <row r="6" spans="1:26" s="14" customFormat="1" ht="12.75">
      <c r="A6" s="121" t="s">
        <v>2</v>
      </c>
      <c r="B6" s="122" t="s">
        <v>30</v>
      </c>
      <c r="C6" s="125" t="s">
        <v>31</v>
      </c>
      <c r="D6" s="127" t="s">
        <v>14</v>
      </c>
      <c r="E6" s="127"/>
      <c r="F6" s="127"/>
      <c r="G6" s="127"/>
      <c r="H6" s="127"/>
      <c r="I6" s="127" t="s">
        <v>15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 t="s">
        <v>27</v>
      </c>
      <c r="X6" s="114" t="s">
        <v>29</v>
      </c>
      <c r="Y6" s="14" t="s">
        <v>83</v>
      </c>
      <c r="Z6" s="14" t="s">
        <v>84</v>
      </c>
    </row>
    <row r="7" spans="1:29" s="14" customFormat="1" ht="12.75">
      <c r="A7" s="121"/>
      <c r="B7" s="123"/>
      <c r="C7" s="126"/>
      <c r="D7" s="115" t="s">
        <v>3</v>
      </c>
      <c r="E7" s="115"/>
      <c r="F7" s="96" t="s">
        <v>4</v>
      </c>
      <c r="G7" s="116" t="s">
        <v>6</v>
      </c>
      <c r="H7" s="118" t="s">
        <v>7</v>
      </c>
      <c r="I7" s="119" t="s">
        <v>17</v>
      </c>
      <c r="J7" s="119"/>
      <c r="K7" s="97" t="s">
        <v>28</v>
      </c>
      <c r="L7" s="28" t="s">
        <v>18</v>
      </c>
      <c r="M7" s="28" t="s">
        <v>19</v>
      </c>
      <c r="N7" s="28" t="s">
        <v>16</v>
      </c>
      <c r="O7" s="119" t="s">
        <v>20</v>
      </c>
      <c r="P7" s="119"/>
      <c r="Q7" s="119"/>
      <c r="R7" s="119"/>
      <c r="S7" s="28" t="s">
        <v>5</v>
      </c>
      <c r="T7" s="28"/>
      <c r="U7" s="120" t="s">
        <v>6</v>
      </c>
      <c r="V7" s="118" t="s">
        <v>7</v>
      </c>
      <c r="W7" s="128"/>
      <c r="X7" s="114"/>
      <c r="AB7" s="15" t="s">
        <v>81</v>
      </c>
      <c r="AC7" s="15" t="s">
        <v>82</v>
      </c>
    </row>
    <row r="8" spans="1:24" s="14" customFormat="1" ht="12.75">
      <c r="A8" s="121"/>
      <c r="B8" s="124"/>
      <c r="C8" s="126"/>
      <c r="D8" s="96">
        <v>211</v>
      </c>
      <c r="E8" s="96">
        <v>213</v>
      </c>
      <c r="F8" s="96">
        <v>310</v>
      </c>
      <c r="G8" s="117"/>
      <c r="H8" s="118"/>
      <c r="I8" s="96">
        <v>211</v>
      </c>
      <c r="J8" s="96">
        <v>213</v>
      </c>
      <c r="K8" s="96">
        <v>212</v>
      </c>
      <c r="L8" s="96">
        <v>221</v>
      </c>
      <c r="M8" s="96">
        <v>222</v>
      </c>
      <c r="N8" s="96">
        <v>223</v>
      </c>
      <c r="O8" s="96">
        <v>224</v>
      </c>
      <c r="P8" s="96">
        <v>225</v>
      </c>
      <c r="Q8" s="96">
        <v>226</v>
      </c>
      <c r="R8" s="102">
        <v>290</v>
      </c>
      <c r="S8" s="102">
        <v>340</v>
      </c>
      <c r="T8" s="102">
        <v>310</v>
      </c>
      <c r="U8" s="120"/>
      <c r="V8" s="118"/>
      <c r="W8" s="128"/>
      <c r="X8" s="114"/>
    </row>
    <row r="9" spans="1:26" s="14" customFormat="1" ht="25.5" customHeight="1" hidden="1">
      <c r="A9" s="32" t="s">
        <v>8</v>
      </c>
      <c r="B9" s="8" t="s">
        <v>1</v>
      </c>
      <c r="C9" s="96">
        <v>318</v>
      </c>
      <c r="D9" s="46">
        <v>10031795.76</v>
      </c>
      <c r="E9" s="46">
        <v>3029602.32</v>
      </c>
      <c r="F9" s="5"/>
      <c r="G9" s="6">
        <f aca="true" t="shared" si="0" ref="G9:G14">SUM(D9:F9)</f>
        <v>13061398.08</v>
      </c>
      <c r="H9" s="5">
        <f aca="true" t="shared" si="1" ref="H9:H14">G9/C9</f>
        <v>41073.57886792453</v>
      </c>
      <c r="I9" s="46">
        <v>11156700.24</v>
      </c>
      <c r="J9" s="46">
        <v>3369323.79</v>
      </c>
      <c r="K9" s="5">
        <v>0</v>
      </c>
      <c r="L9" s="5">
        <v>99519.53</v>
      </c>
      <c r="M9" s="5">
        <v>0</v>
      </c>
      <c r="N9" s="5">
        <v>4731936.12</v>
      </c>
      <c r="O9" s="5"/>
      <c r="P9" s="5">
        <v>482677.14</v>
      </c>
      <c r="Q9" s="5">
        <v>769481.32</v>
      </c>
      <c r="R9" s="5"/>
      <c r="S9" s="5">
        <v>373803.56</v>
      </c>
      <c r="T9" s="5"/>
      <c r="U9" s="6">
        <f aca="true" t="shared" si="2" ref="U9:U14">SUM(I9:S9)</f>
        <v>20983441.7</v>
      </c>
      <c r="V9" s="5">
        <f aca="true" t="shared" si="3" ref="V9:V14">U9/C9</f>
        <v>65985.66572327043</v>
      </c>
      <c r="W9" s="6">
        <f>H9+V9</f>
        <v>107059.24459119496</v>
      </c>
      <c r="X9" s="29">
        <f>W9/W14</f>
        <v>0.9414694130131577</v>
      </c>
      <c r="Y9" s="23">
        <f aca="true" t="shared" si="4" ref="Y9:Y14">G9+U9</f>
        <v>34044839.78</v>
      </c>
      <c r="Z9" s="23">
        <f aca="true" t="shared" si="5" ref="Z9:Z14">U9+G9</f>
        <v>34044839.78</v>
      </c>
    </row>
    <row r="10" spans="1:26" s="14" customFormat="1" ht="12.75" hidden="1">
      <c r="A10" s="33" t="s">
        <v>9</v>
      </c>
      <c r="B10" s="9" t="s">
        <v>1</v>
      </c>
      <c r="C10" s="96">
        <v>269</v>
      </c>
      <c r="D10" s="46">
        <v>7747678.44</v>
      </c>
      <c r="E10" s="46">
        <v>2339798.89</v>
      </c>
      <c r="F10" s="5"/>
      <c r="G10" s="6">
        <f t="shared" si="0"/>
        <v>10087477.33</v>
      </c>
      <c r="H10" s="5">
        <f t="shared" si="1"/>
        <v>37499.91572490706</v>
      </c>
      <c r="I10" s="46">
        <v>12018834.84</v>
      </c>
      <c r="J10" s="46">
        <v>3629688.32</v>
      </c>
      <c r="K10" s="5"/>
      <c r="L10" s="5">
        <v>82283.3</v>
      </c>
      <c r="M10" s="5">
        <v>0</v>
      </c>
      <c r="N10" s="5">
        <v>2358423.08</v>
      </c>
      <c r="O10" s="5"/>
      <c r="P10" s="5">
        <v>596240.43</v>
      </c>
      <c r="Q10" s="5">
        <v>1171044.08</v>
      </c>
      <c r="R10" s="5"/>
      <c r="S10" s="5">
        <v>320906.82</v>
      </c>
      <c r="T10" s="5"/>
      <c r="U10" s="6">
        <f t="shared" si="2"/>
        <v>20177420.869999997</v>
      </c>
      <c r="V10" s="5">
        <f t="shared" si="3"/>
        <v>75008.99951672861</v>
      </c>
      <c r="W10" s="6">
        <f aca="true" t="shared" si="6" ref="W10:W63">H10+V10</f>
        <v>112508.91524163567</v>
      </c>
      <c r="X10" s="29">
        <f>W10/W14</f>
        <v>0.9893933288597245</v>
      </c>
      <c r="Y10" s="23">
        <f t="shared" si="4"/>
        <v>30264898.199999996</v>
      </c>
      <c r="Z10" s="23">
        <f t="shared" si="5"/>
        <v>30264898.199999996</v>
      </c>
    </row>
    <row r="11" spans="1:26" s="14" customFormat="1" ht="27" customHeight="1" hidden="1">
      <c r="A11" s="33" t="s">
        <v>10</v>
      </c>
      <c r="B11" s="8" t="s">
        <v>1</v>
      </c>
      <c r="C11" s="96">
        <v>165</v>
      </c>
      <c r="D11" s="46">
        <v>4966296.6</v>
      </c>
      <c r="E11" s="46">
        <v>1499821.57</v>
      </c>
      <c r="F11" s="5"/>
      <c r="G11" s="6">
        <f t="shared" si="0"/>
        <v>6466118.17</v>
      </c>
      <c r="H11" s="5">
        <f t="shared" si="1"/>
        <v>39188.59496969697</v>
      </c>
      <c r="I11" s="46">
        <v>8332721.4</v>
      </c>
      <c r="J11" s="46">
        <v>2516481.81</v>
      </c>
      <c r="K11" s="5"/>
      <c r="L11" s="5">
        <v>77570.35</v>
      </c>
      <c r="M11" s="5"/>
      <c r="N11" s="5">
        <v>1321892.55</v>
      </c>
      <c r="O11" s="5"/>
      <c r="P11" s="5">
        <v>368511.06</v>
      </c>
      <c r="Q11" s="5">
        <v>593446.67</v>
      </c>
      <c r="R11" s="5"/>
      <c r="S11" s="5">
        <v>199832.09</v>
      </c>
      <c r="T11" s="5"/>
      <c r="U11" s="6">
        <f t="shared" si="2"/>
        <v>13410455.930000002</v>
      </c>
      <c r="V11" s="5">
        <f t="shared" si="3"/>
        <v>81275.49048484849</v>
      </c>
      <c r="W11" s="6">
        <f t="shared" si="6"/>
        <v>120464.08545454545</v>
      </c>
      <c r="X11" s="29">
        <f>W11/W14</f>
        <v>1.059350383566833</v>
      </c>
      <c r="Y11" s="23">
        <f t="shared" si="4"/>
        <v>19876574.1</v>
      </c>
      <c r="Z11" s="23">
        <f t="shared" si="5"/>
        <v>19876574.1</v>
      </c>
    </row>
    <row r="12" spans="1:26" s="14" customFormat="1" ht="12.75" hidden="1">
      <c r="A12" s="33" t="s">
        <v>11</v>
      </c>
      <c r="B12" s="9" t="s">
        <v>1</v>
      </c>
      <c r="C12" s="96">
        <v>195</v>
      </c>
      <c r="D12" s="46">
        <v>5382474.24</v>
      </c>
      <c r="E12" s="46">
        <v>1625507.22</v>
      </c>
      <c r="F12" s="5"/>
      <c r="G12" s="6">
        <f t="shared" si="0"/>
        <v>7007981.46</v>
      </c>
      <c r="H12" s="5">
        <f t="shared" si="1"/>
        <v>35938.36646153846</v>
      </c>
      <c r="I12" s="46">
        <v>9846245.76</v>
      </c>
      <c r="J12" s="46">
        <v>2973565.84</v>
      </c>
      <c r="K12" s="5">
        <v>700</v>
      </c>
      <c r="L12" s="5">
        <v>85763.15</v>
      </c>
      <c r="M12" s="5">
        <v>8752.83</v>
      </c>
      <c r="N12" s="5">
        <v>1756577.71</v>
      </c>
      <c r="O12" s="5"/>
      <c r="P12" s="5">
        <v>404435.9</v>
      </c>
      <c r="Q12" s="5">
        <v>641599.61</v>
      </c>
      <c r="R12" s="5"/>
      <c r="S12" s="5">
        <v>229219.16</v>
      </c>
      <c r="T12" s="5"/>
      <c r="U12" s="6">
        <f t="shared" si="2"/>
        <v>15946859.959999999</v>
      </c>
      <c r="V12" s="5">
        <f t="shared" si="3"/>
        <v>81778.76902564103</v>
      </c>
      <c r="W12" s="6">
        <f t="shared" si="6"/>
        <v>117717.13548717949</v>
      </c>
      <c r="X12" s="29">
        <f>W12/W14</f>
        <v>1.0351939514602193</v>
      </c>
      <c r="Y12" s="23">
        <f t="shared" si="4"/>
        <v>22954841.419999998</v>
      </c>
      <c r="Z12" s="23">
        <f t="shared" si="5"/>
        <v>22954841.419999998</v>
      </c>
    </row>
    <row r="13" spans="1:26" s="14" customFormat="1" ht="25.5" hidden="1">
      <c r="A13" s="33" t="s">
        <v>12</v>
      </c>
      <c r="B13" s="8" t="s">
        <v>1</v>
      </c>
      <c r="C13" s="96">
        <v>329</v>
      </c>
      <c r="D13" s="46">
        <v>9787368</v>
      </c>
      <c r="E13" s="46">
        <v>2955785.14</v>
      </c>
      <c r="F13" s="5"/>
      <c r="G13" s="6">
        <f t="shared" si="0"/>
        <v>12743153.14</v>
      </c>
      <c r="H13" s="5">
        <f t="shared" si="1"/>
        <v>38732.98826747721</v>
      </c>
      <c r="I13" s="46">
        <v>14407512</v>
      </c>
      <c r="J13" s="46">
        <v>4350766.15</v>
      </c>
      <c r="K13" s="5"/>
      <c r="L13" s="5">
        <v>59612.46</v>
      </c>
      <c r="M13" s="5">
        <v>0</v>
      </c>
      <c r="N13" s="5">
        <v>4353649.03</v>
      </c>
      <c r="O13" s="5"/>
      <c r="P13" s="5">
        <v>835600.37</v>
      </c>
      <c r="Q13" s="5">
        <v>822227.64</v>
      </c>
      <c r="R13" s="5"/>
      <c r="S13" s="5">
        <v>386733.87</v>
      </c>
      <c r="T13" s="5"/>
      <c r="U13" s="6">
        <f t="shared" si="2"/>
        <v>25216101.520000003</v>
      </c>
      <c r="V13" s="5">
        <f t="shared" si="3"/>
        <v>76644.68547112463</v>
      </c>
      <c r="W13" s="6">
        <f t="shared" si="6"/>
        <v>115377.67373860184</v>
      </c>
      <c r="X13" s="29">
        <f>W13/W14</f>
        <v>1.0146209342713675</v>
      </c>
      <c r="Y13" s="23">
        <f t="shared" si="4"/>
        <v>37959254.660000004</v>
      </c>
      <c r="Z13" s="23">
        <f t="shared" si="5"/>
        <v>37959254.660000004</v>
      </c>
    </row>
    <row r="14" spans="1:26" s="14" customFormat="1" ht="12.75" hidden="1">
      <c r="A14" s="10" t="s">
        <v>13</v>
      </c>
      <c r="B14" s="90" t="s">
        <v>1</v>
      </c>
      <c r="C14" s="98">
        <f>SUM(C9:C13)</f>
        <v>1276</v>
      </c>
      <c r="D14" s="6">
        <f>SUM(D9:D13)</f>
        <v>37915613.04</v>
      </c>
      <c r="E14" s="6">
        <f>SUM(E9:E13)</f>
        <v>11450515.14</v>
      </c>
      <c r="F14" s="6">
        <f>SUM(F9:F13)</f>
        <v>0</v>
      </c>
      <c r="G14" s="6">
        <f t="shared" si="0"/>
        <v>49366128.18</v>
      </c>
      <c r="H14" s="6">
        <f t="shared" si="1"/>
        <v>38688.188228840125</v>
      </c>
      <c r="I14" s="6">
        <f>SUM(I9:I13)</f>
        <v>55762014.239999995</v>
      </c>
      <c r="J14" s="6">
        <f aca="true" t="shared" si="7" ref="J14:S14">SUM(J9:J13)</f>
        <v>16839825.91</v>
      </c>
      <c r="K14" s="6">
        <f t="shared" si="7"/>
        <v>700</v>
      </c>
      <c r="L14" s="6">
        <f t="shared" si="7"/>
        <v>404748.79000000004</v>
      </c>
      <c r="M14" s="6">
        <f t="shared" si="7"/>
        <v>8752.83</v>
      </c>
      <c r="N14" s="6">
        <f>SUM(N9:N13)</f>
        <v>14522478.490000002</v>
      </c>
      <c r="O14" s="6">
        <f t="shared" si="7"/>
        <v>0</v>
      </c>
      <c r="P14" s="6">
        <f t="shared" si="7"/>
        <v>2687464.9000000004</v>
      </c>
      <c r="Q14" s="6">
        <f t="shared" si="7"/>
        <v>3997799.32</v>
      </c>
      <c r="R14" s="6">
        <f t="shared" si="7"/>
        <v>0</v>
      </c>
      <c r="S14" s="6">
        <f t="shared" si="7"/>
        <v>1510495.5</v>
      </c>
      <c r="T14" s="6"/>
      <c r="U14" s="6">
        <f t="shared" si="2"/>
        <v>95734279.97999999</v>
      </c>
      <c r="V14" s="6">
        <f t="shared" si="3"/>
        <v>75026.86518808776</v>
      </c>
      <c r="W14" s="6">
        <f t="shared" si="6"/>
        <v>113715.05341692788</v>
      </c>
      <c r="X14" s="29"/>
      <c r="Y14" s="23">
        <f t="shared" si="4"/>
        <v>145100408.16</v>
      </c>
      <c r="Z14" s="23">
        <f t="shared" si="5"/>
        <v>145100408.16</v>
      </c>
    </row>
    <row r="15" spans="1:25" s="14" customFormat="1" ht="12.75" hidden="1">
      <c r="A15" s="10"/>
      <c r="B15" s="10"/>
      <c r="C15" s="98"/>
      <c r="D15" s="6"/>
      <c r="E15" s="6"/>
      <c r="F15" s="6"/>
      <c r="G15" s="6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V15" s="5"/>
      <c r="W15" s="6"/>
      <c r="X15" s="29"/>
      <c r="Y15" s="23"/>
    </row>
    <row r="16" spans="1:31" s="14" customFormat="1" ht="23.25" customHeight="1" hidden="1">
      <c r="A16" s="32" t="s">
        <v>8</v>
      </c>
      <c r="B16" s="8" t="s">
        <v>1</v>
      </c>
      <c r="C16" s="96">
        <v>34</v>
      </c>
      <c r="D16" s="5"/>
      <c r="E16" s="5"/>
      <c r="F16" s="5"/>
      <c r="G16" s="6">
        <f aca="true" t="shared" si="8" ref="G16:G21">SUM(D16:F16)</f>
        <v>0</v>
      </c>
      <c r="H16" s="5">
        <f aca="true" t="shared" si="9" ref="H16:H21">G16/C16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>
        <f aca="true" t="shared" si="10" ref="U16:U21">SUM(I16:S16)</f>
        <v>0</v>
      </c>
      <c r="V16" s="5">
        <f aca="true" t="shared" si="11" ref="V16:V21">U16/C16</f>
        <v>0</v>
      </c>
      <c r="W16" s="6">
        <f aca="true" t="shared" si="12" ref="W16:W21">H16+V16</f>
        <v>0</v>
      </c>
      <c r="X16" s="29" t="e">
        <f>W16/W21</f>
        <v>#DIV/0!</v>
      </c>
      <c r="Y16" s="23">
        <f aca="true" t="shared" si="13" ref="Y16:Y21">G16+U16</f>
        <v>0</v>
      </c>
      <c r="Z16" s="23" t="e">
        <f>#REF!</f>
        <v>#REF!</v>
      </c>
      <c r="AC16" s="23" t="e">
        <f>Z9+Z16</f>
        <v>#REF!</v>
      </c>
      <c r="AD16" s="22">
        <v>22035510</v>
      </c>
      <c r="AE16" s="36" t="e">
        <f>AD16-AC16</f>
        <v>#REF!</v>
      </c>
    </row>
    <row r="17" spans="1:31" s="14" customFormat="1" ht="12.75" hidden="1">
      <c r="A17" s="33" t="s">
        <v>9</v>
      </c>
      <c r="B17" s="9" t="s">
        <v>1</v>
      </c>
      <c r="C17" s="96">
        <v>63</v>
      </c>
      <c r="D17" s="5"/>
      <c r="E17" s="5"/>
      <c r="F17" s="5"/>
      <c r="G17" s="6">
        <f t="shared" si="8"/>
        <v>0</v>
      </c>
      <c r="H17" s="5">
        <f t="shared" si="9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>
        <f t="shared" si="10"/>
        <v>0</v>
      </c>
      <c r="V17" s="5">
        <f t="shared" si="11"/>
        <v>0</v>
      </c>
      <c r="W17" s="6">
        <f t="shared" si="12"/>
        <v>0</v>
      </c>
      <c r="X17" s="29" t="e">
        <f>W17/W21</f>
        <v>#DIV/0!</v>
      </c>
      <c r="Y17" s="23">
        <f t="shared" si="13"/>
        <v>0</v>
      </c>
      <c r="Z17" s="23" t="e">
        <f>#REF!</f>
        <v>#REF!</v>
      </c>
      <c r="AC17" s="23" t="e">
        <f>Z10+Z17</f>
        <v>#REF!</v>
      </c>
      <c r="AD17" s="22">
        <v>25344676.17</v>
      </c>
      <c r="AE17" s="36" t="e">
        <f>AD17-AC17</f>
        <v>#REF!</v>
      </c>
    </row>
    <row r="18" spans="1:31" s="14" customFormat="1" ht="36" customHeight="1" hidden="1">
      <c r="A18" s="33" t="s">
        <v>10</v>
      </c>
      <c r="B18" s="8" t="s">
        <v>1</v>
      </c>
      <c r="C18" s="96">
        <v>32</v>
      </c>
      <c r="D18" s="5"/>
      <c r="E18" s="5"/>
      <c r="F18" s="5"/>
      <c r="G18" s="6">
        <f t="shared" si="8"/>
        <v>0</v>
      </c>
      <c r="H18" s="5">
        <f t="shared" si="9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>
        <f t="shared" si="10"/>
        <v>0</v>
      </c>
      <c r="V18" s="5">
        <f t="shared" si="11"/>
        <v>0</v>
      </c>
      <c r="W18" s="6">
        <f t="shared" si="12"/>
        <v>0</v>
      </c>
      <c r="X18" s="29" t="e">
        <f>W18/W21</f>
        <v>#DIV/0!</v>
      </c>
      <c r="Y18" s="23">
        <f t="shared" si="13"/>
        <v>0</v>
      </c>
      <c r="Z18" s="23" t="e">
        <f>#REF!</f>
        <v>#REF!</v>
      </c>
      <c r="AC18" s="23" t="e">
        <f>Z11+Z18</f>
        <v>#REF!</v>
      </c>
      <c r="AD18" s="22">
        <v>16105144.02</v>
      </c>
      <c r="AE18" s="36" t="e">
        <f>AD18-AC18</f>
        <v>#REF!</v>
      </c>
    </row>
    <row r="19" spans="1:31" s="14" customFormat="1" ht="12.75" hidden="1">
      <c r="A19" s="33" t="s">
        <v>11</v>
      </c>
      <c r="B19" s="9" t="s">
        <v>1</v>
      </c>
      <c r="C19" s="96">
        <v>25</v>
      </c>
      <c r="D19" s="5"/>
      <c r="E19" s="5"/>
      <c r="F19" s="5"/>
      <c r="G19" s="6">
        <f t="shared" si="8"/>
        <v>0</v>
      </c>
      <c r="H19" s="5">
        <f t="shared" si="9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>
        <f t="shared" si="10"/>
        <v>0</v>
      </c>
      <c r="V19" s="5">
        <f t="shared" si="11"/>
        <v>0</v>
      </c>
      <c r="W19" s="6">
        <f t="shared" si="12"/>
        <v>0</v>
      </c>
      <c r="X19" s="29" t="e">
        <f>W19/W21</f>
        <v>#DIV/0!</v>
      </c>
      <c r="Y19" s="23">
        <f t="shared" si="13"/>
        <v>0</v>
      </c>
      <c r="Z19" s="23" t="e">
        <f>#REF!</f>
        <v>#REF!</v>
      </c>
      <c r="AC19" s="23" t="e">
        <f>Z12+Z19</f>
        <v>#REF!</v>
      </c>
      <c r="AD19" s="22">
        <v>21243040.53</v>
      </c>
      <c r="AE19" s="36" t="e">
        <f>AD19-AC19</f>
        <v>#REF!</v>
      </c>
    </row>
    <row r="20" spans="1:31" s="14" customFormat="1" ht="25.5" hidden="1">
      <c r="A20" s="33" t="s">
        <v>12</v>
      </c>
      <c r="B20" s="8" t="s">
        <v>1</v>
      </c>
      <c r="C20" s="96">
        <v>37</v>
      </c>
      <c r="D20" s="5"/>
      <c r="E20" s="5"/>
      <c r="F20" s="5"/>
      <c r="G20" s="6">
        <f t="shared" si="8"/>
        <v>0</v>
      </c>
      <c r="H20" s="5">
        <f t="shared" si="9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>
        <f t="shared" si="10"/>
        <v>0</v>
      </c>
      <c r="V20" s="5">
        <f t="shared" si="11"/>
        <v>0</v>
      </c>
      <c r="W20" s="6">
        <f t="shared" si="12"/>
        <v>0</v>
      </c>
      <c r="X20" s="29" t="e">
        <f>W20/W21</f>
        <v>#DIV/0!</v>
      </c>
      <c r="Y20" s="23">
        <f t="shared" si="13"/>
        <v>0</v>
      </c>
      <c r="Z20" s="23" t="e">
        <f>#REF!</f>
        <v>#REF!</v>
      </c>
      <c r="AC20" s="23" t="e">
        <f>Z13+Z20</f>
        <v>#REF!</v>
      </c>
      <c r="AD20" s="23">
        <v>28683073.58</v>
      </c>
      <c r="AE20" s="36" t="e">
        <f>AD20-AC20</f>
        <v>#REF!</v>
      </c>
    </row>
    <row r="21" spans="1:31" s="19" customFormat="1" ht="12.75" hidden="1">
      <c r="A21" s="20" t="s">
        <v>13</v>
      </c>
      <c r="B21" s="21" t="s">
        <v>1</v>
      </c>
      <c r="C21" s="98">
        <f>SUM(C16:C20)</f>
        <v>191</v>
      </c>
      <c r="D21" s="6">
        <f>SUM(D16:D20)</f>
        <v>0</v>
      </c>
      <c r="E21" s="6">
        <f>SUM(E16:E20)</f>
        <v>0</v>
      </c>
      <c r="F21" s="6">
        <f>SUM(F16:F20)</f>
        <v>0</v>
      </c>
      <c r="G21" s="6">
        <f t="shared" si="8"/>
        <v>0</v>
      </c>
      <c r="H21" s="6">
        <f t="shared" si="9"/>
        <v>0</v>
      </c>
      <c r="I21" s="6">
        <f aca="true" t="shared" si="14" ref="I21:N21">SUM(I16:I20)</f>
        <v>0</v>
      </c>
      <c r="J21" s="6">
        <f t="shared" si="14"/>
        <v>0</v>
      </c>
      <c r="K21" s="6">
        <f t="shared" si="14"/>
        <v>0</v>
      </c>
      <c r="L21" s="6">
        <f t="shared" si="14"/>
        <v>0</v>
      </c>
      <c r="M21" s="6">
        <f t="shared" si="14"/>
        <v>0</v>
      </c>
      <c r="N21" s="6">
        <f t="shared" si="14"/>
        <v>0</v>
      </c>
      <c r="O21" s="6">
        <f>SUM(O16:O20)</f>
        <v>0</v>
      </c>
      <c r="P21" s="6">
        <f>SUM(P16:P20)</f>
        <v>0</v>
      </c>
      <c r="Q21" s="6">
        <f>SUM(Q16:Q20)</f>
        <v>0</v>
      </c>
      <c r="R21" s="6">
        <f>SUM(R16:R20)</f>
        <v>0</v>
      </c>
      <c r="S21" s="6">
        <f>SUM(S16:S20)</f>
        <v>0</v>
      </c>
      <c r="T21" s="6"/>
      <c r="U21" s="6">
        <f t="shared" si="10"/>
        <v>0</v>
      </c>
      <c r="V21" s="6">
        <f t="shared" si="11"/>
        <v>0</v>
      </c>
      <c r="W21" s="16">
        <f t="shared" si="12"/>
        <v>0</v>
      </c>
      <c r="X21" s="17"/>
      <c r="Y21" s="18">
        <f t="shared" si="13"/>
        <v>0</v>
      </c>
      <c r="Z21" s="18"/>
      <c r="AC21" s="18"/>
      <c r="AE21" s="18"/>
    </row>
    <row r="22" spans="1:29" s="19" customFormat="1" ht="12.75">
      <c r="A22" s="20"/>
      <c r="B22" s="20"/>
      <c r="C22" s="98"/>
      <c r="D22" s="6"/>
      <c r="E22" s="6"/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  <c r="V22" s="5"/>
      <c r="W22" s="16"/>
      <c r="X22" s="17"/>
      <c r="Y22" s="18"/>
      <c r="AB22" s="47"/>
      <c r="AC22" s="47"/>
    </row>
    <row r="23" spans="1:31" s="47" customFormat="1" ht="22.5" customHeight="1">
      <c r="A23" s="86" t="s">
        <v>73</v>
      </c>
      <c r="B23" s="110" t="s">
        <v>1</v>
      </c>
      <c r="C23" s="104">
        <f>C24+C25+C26</f>
        <v>394</v>
      </c>
      <c r="D23" s="35">
        <v>18803488.32</v>
      </c>
      <c r="E23" s="35">
        <v>5678653.47</v>
      </c>
      <c r="F23" s="35">
        <v>589500</v>
      </c>
      <c r="G23" s="6">
        <f>SUM(D23:F23)</f>
        <v>25071641.79</v>
      </c>
      <c r="H23" s="35">
        <f aca="true" t="shared" si="15" ref="H23:H43">G23/C23</f>
        <v>63633.60860406091</v>
      </c>
      <c r="I23" s="35">
        <v>6957457.2</v>
      </c>
      <c r="J23" s="35">
        <v>2101152.07</v>
      </c>
      <c r="K23" s="35">
        <v>21412</v>
      </c>
      <c r="L23" s="35">
        <v>33937</v>
      </c>
      <c r="M23" s="35">
        <v>68020</v>
      </c>
      <c r="N23" s="35">
        <v>0</v>
      </c>
      <c r="O23" s="35"/>
      <c r="P23" s="35">
        <v>44664</v>
      </c>
      <c r="Q23" s="35">
        <v>560015</v>
      </c>
      <c r="R23" s="35"/>
      <c r="S23" s="35">
        <v>231225</v>
      </c>
      <c r="T23" s="5"/>
      <c r="U23" s="6">
        <f>SUM(I23:T23)</f>
        <v>10017882.27</v>
      </c>
      <c r="V23" s="5">
        <f aca="true" t="shared" si="16" ref="V23:V43">U23/C23</f>
        <v>25426.097131979695</v>
      </c>
      <c r="W23" s="6">
        <f t="shared" si="6"/>
        <v>89059.7057360406</v>
      </c>
      <c r="X23" s="103">
        <f>W23/W43</f>
        <v>0.9581583146393685</v>
      </c>
      <c r="Y23" s="36">
        <f>G23+U23</f>
        <v>35089524.06</v>
      </c>
      <c r="Z23" s="36">
        <f>U23+G23+126900</f>
        <v>35216424.06</v>
      </c>
      <c r="AA23" s="15"/>
      <c r="AB23" s="91">
        <f>D23+I23</f>
        <v>25760945.52</v>
      </c>
      <c r="AC23" s="92">
        <f>E23+J23</f>
        <v>7779805.539999999</v>
      </c>
      <c r="AD23" s="91">
        <f>AB23+AC23</f>
        <v>33540751.06</v>
      </c>
      <c r="AE23" s="91"/>
    </row>
    <row r="24" spans="1:31" s="19" customFormat="1" ht="48" customHeight="1">
      <c r="A24" s="87" t="s">
        <v>77</v>
      </c>
      <c r="B24" s="111"/>
      <c r="C24" s="104">
        <v>126</v>
      </c>
      <c r="D24" s="35">
        <f>D23/C23*C24</f>
        <v>6013298.295228426</v>
      </c>
      <c r="E24" s="35">
        <f>E23/C23*C24</f>
        <v>1816016.084314721</v>
      </c>
      <c r="F24" s="5">
        <f>F23/C23*C24</f>
        <v>188520.3045685279</v>
      </c>
      <c r="G24" s="6">
        <f aca="true" t="shared" si="17" ref="G24:G42">SUM(D24:F24)</f>
        <v>8017834.684111675</v>
      </c>
      <c r="H24" s="5">
        <f t="shared" si="15"/>
        <v>63633.608604060915</v>
      </c>
      <c r="I24" s="5">
        <f>I23/C23*C24</f>
        <v>2224973.6223350256</v>
      </c>
      <c r="J24" s="5">
        <f>J23/C23*C24</f>
        <v>671942.032538071</v>
      </c>
      <c r="K24" s="5">
        <f>K23/C23*C24</f>
        <v>6847.4923857868025</v>
      </c>
      <c r="L24" s="5">
        <f>L23/C23*C24</f>
        <v>10852.949238578682</v>
      </c>
      <c r="M24" s="5">
        <f>M23/C23*C24</f>
        <v>21752.588832487312</v>
      </c>
      <c r="N24" s="5">
        <f>N23/C23*C24</f>
        <v>0</v>
      </c>
      <c r="O24" s="5"/>
      <c r="P24" s="5">
        <f>P23/C23*C24</f>
        <v>14283.411167512691</v>
      </c>
      <c r="Q24" s="5">
        <f>Q23/C23*C24</f>
        <v>179091.09137055837</v>
      </c>
      <c r="R24" s="5"/>
      <c r="S24" s="5">
        <f>S23/C23*C24</f>
        <v>73945.05076142133</v>
      </c>
      <c r="T24" s="5"/>
      <c r="U24" s="6">
        <f aca="true" t="shared" si="18" ref="U24:U42">SUM(I24:S24)</f>
        <v>3203688.2386294417</v>
      </c>
      <c r="V24" s="5">
        <f t="shared" si="16"/>
        <v>25426.097131979695</v>
      </c>
      <c r="W24" s="6">
        <f t="shared" si="6"/>
        <v>89059.7057360406</v>
      </c>
      <c r="X24" s="103">
        <f>X23</f>
        <v>0.9581583146393685</v>
      </c>
      <c r="Y24" s="36"/>
      <c r="Z24" s="36"/>
      <c r="AA24" s="15"/>
      <c r="AC24" s="45"/>
      <c r="AE24" s="18"/>
    </row>
    <row r="25" spans="1:31" s="19" customFormat="1" ht="48" customHeight="1">
      <c r="A25" s="87" t="s">
        <v>78</v>
      </c>
      <c r="B25" s="111"/>
      <c r="C25" s="104">
        <v>192</v>
      </c>
      <c r="D25" s="35">
        <f>D23/C23*C25</f>
        <v>9163121.21177665</v>
      </c>
      <c r="E25" s="35">
        <f>E23/C23*C25</f>
        <v>2767262.6046700506</v>
      </c>
      <c r="F25" s="5">
        <f>F23/C23*C25</f>
        <v>287269.0355329949</v>
      </c>
      <c r="G25" s="6">
        <f t="shared" si="17"/>
        <v>12217652.851979693</v>
      </c>
      <c r="H25" s="5">
        <f t="shared" si="15"/>
        <v>63633.6086040609</v>
      </c>
      <c r="I25" s="5">
        <f>I23/C23*C25</f>
        <v>3390435.995939086</v>
      </c>
      <c r="J25" s="5">
        <f>J23/C23*C25</f>
        <v>1023911.6686294415</v>
      </c>
      <c r="K25" s="5">
        <f>K23/C23*C25</f>
        <v>10434.274111675128</v>
      </c>
      <c r="L25" s="5">
        <f>L23/C23*C25</f>
        <v>16537.827411167513</v>
      </c>
      <c r="M25" s="5">
        <f>M23/C23*C25</f>
        <v>33146.802030456856</v>
      </c>
      <c r="N25" s="5">
        <f>N23/C23*C25</f>
        <v>0</v>
      </c>
      <c r="O25" s="5"/>
      <c r="P25" s="5">
        <f>P23/C23*C25</f>
        <v>21765.197969543147</v>
      </c>
      <c r="Q25" s="5">
        <f>Q23/C23*C25</f>
        <v>272900.71065989847</v>
      </c>
      <c r="R25" s="5"/>
      <c r="S25" s="5">
        <f>S23/C23*C25</f>
        <v>112678.1725888325</v>
      </c>
      <c r="T25" s="5"/>
      <c r="U25" s="6">
        <f t="shared" si="18"/>
        <v>4881810.6493401015</v>
      </c>
      <c r="V25" s="5">
        <f t="shared" si="16"/>
        <v>25426.097131979695</v>
      </c>
      <c r="W25" s="6">
        <f t="shared" si="6"/>
        <v>89059.7057360406</v>
      </c>
      <c r="X25" s="103">
        <f>X24</f>
        <v>0.9581583146393685</v>
      </c>
      <c r="Y25" s="36"/>
      <c r="Z25" s="36"/>
      <c r="AA25" s="15"/>
      <c r="AC25" s="45"/>
      <c r="AE25" s="18"/>
    </row>
    <row r="26" spans="1:31" s="19" customFormat="1" ht="48" customHeight="1">
      <c r="A26" s="87" t="s">
        <v>79</v>
      </c>
      <c r="B26" s="112"/>
      <c r="C26" s="104">
        <v>76</v>
      </c>
      <c r="D26" s="35">
        <f>D23/C23*C26</f>
        <v>3627068.812994924</v>
      </c>
      <c r="E26" s="35">
        <f>E23/C23*C26</f>
        <v>1095374.7810152285</v>
      </c>
      <c r="F26" s="5">
        <f>F23/C23*C26</f>
        <v>113710.65989847716</v>
      </c>
      <c r="G26" s="6">
        <f t="shared" si="17"/>
        <v>4836154.2539086295</v>
      </c>
      <c r="H26" s="5">
        <f t="shared" si="15"/>
        <v>63633.608604060915</v>
      </c>
      <c r="I26" s="5">
        <f>I23/C23*C26</f>
        <v>1342047.5817258884</v>
      </c>
      <c r="J26" s="5">
        <f>J23/C23*C26</f>
        <v>405298.36883248726</v>
      </c>
      <c r="K26" s="5">
        <f>K23/C23*C26</f>
        <v>4130.233502538071</v>
      </c>
      <c r="L26" s="5">
        <f>L23/C23*C26</f>
        <v>6546.223350253807</v>
      </c>
      <c r="M26" s="5">
        <f>M23/C23*C26</f>
        <v>13120.609137055839</v>
      </c>
      <c r="N26" s="5">
        <f>N23/C23*C26</f>
        <v>0</v>
      </c>
      <c r="O26" s="5"/>
      <c r="P26" s="5">
        <f>P23/C23*C26</f>
        <v>8615.390862944163</v>
      </c>
      <c r="Q26" s="5">
        <f>Q23/C23*C26</f>
        <v>108023.19796954314</v>
      </c>
      <c r="R26" s="5"/>
      <c r="S26" s="5">
        <f>S23/C23*C26</f>
        <v>44601.77664974619</v>
      </c>
      <c r="T26" s="5"/>
      <c r="U26" s="6">
        <f t="shared" si="18"/>
        <v>1932383.3820304568</v>
      </c>
      <c r="V26" s="5">
        <f t="shared" si="16"/>
        <v>25426.097131979695</v>
      </c>
      <c r="W26" s="6">
        <f t="shared" si="6"/>
        <v>89059.7057360406</v>
      </c>
      <c r="X26" s="103">
        <f>X25</f>
        <v>0.9581583146393685</v>
      </c>
      <c r="Y26" s="36"/>
      <c r="Z26" s="36"/>
      <c r="AA26" s="15"/>
      <c r="AC26" s="45"/>
      <c r="AE26" s="18"/>
    </row>
    <row r="27" spans="1:31" s="47" customFormat="1" ht="24.75" customHeight="1">
      <c r="A27" s="86" t="s">
        <v>0</v>
      </c>
      <c r="B27" s="110" t="s">
        <v>1</v>
      </c>
      <c r="C27" s="96">
        <f>C28+C29+C30</f>
        <v>297</v>
      </c>
      <c r="D27" s="35">
        <v>16009013.4</v>
      </c>
      <c r="E27" s="35">
        <v>4834722.05</v>
      </c>
      <c r="F27" s="35">
        <v>456000</v>
      </c>
      <c r="G27" s="6">
        <f t="shared" si="17"/>
        <v>21299735.45</v>
      </c>
      <c r="H27" s="5">
        <f t="shared" si="15"/>
        <v>71716.28097643098</v>
      </c>
      <c r="I27" s="35">
        <v>11214546.48</v>
      </c>
      <c r="J27" s="35">
        <v>3386793.04</v>
      </c>
      <c r="K27" s="35">
        <v>22920</v>
      </c>
      <c r="L27" s="35">
        <v>95045</v>
      </c>
      <c r="M27" s="35">
        <v>80120</v>
      </c>
      <c r="N27" s="35">
        <v>3431645.16</v>
      </c>
      <c r="O27" s="35"/>
      <c r="P27" s="35">
        <v>670668</v>
      </c>
      <c r="Q27" s="35">
        <v>1752737</v>
      </c>
      <c r="R27" s="35"/>
      <c r="S27" s="35">
        <v>170182</v>
      </c>
      <c r="T27" s="5"/>
      <c r="U27" s="6">
        <f>SUM(I27:T27)</f>
        <v>20824656.68</v>
      </c>
      <c r="V27" s="5">
        <f t="shared" si="16"/>
        <v>70116.68915824915</v>
      </c>
      <c r="W27" s="6">
        <f t="shared" si="6"/>
        <v>141832.97013468013</v>
      </c>
      <c r="X27" s="103">
        <f>W27/W43</f>
        <v>1.5259250915034828</v>
      </c>
      <c r="Y27" s="36">
        <f>G27+U27</f>
        <v>42124392.129999995</v>
      </c>
      <c r="Z27" s="36">
        <f>U27+G27+73466+10900</f>
        <v>42208758.129999995</v>
      </c>
      <c r="AA27" s="15"/>
      <c r="AB27" s="91">
        <f>D27+I27</f>
        <v>27223559.880000003</v>
      </c>
      <c r="AC27" s="92">
        <f>E27+J27</f>
        <v>8221515.09</v>
      </c>
      <c r="AD27" s="91">
        <f>AB27+AC27</f>
        <v>35445074.97</v>
      </c>
      <c r="AE27" s="91"/>
    </row>
    <row r="28" spans="1:31" s="19" customFormat="1" ht="45" customHeight="1">
      <c r="A28" s="87" t="s">
        <v>77</v>
      </c>
      <c r="B28" s="111"/>
      <c r="C28" s="96">
        <v>122</v>
      </c>
      <c r="D28" s="35">
        <f>D27/C27*C28</f>
        <v>6576093.046464646</v>
      </c>
      <c r="E28" s="35">
        <f>E27/C27*C28</f>
        <v>1985980.1013468013</v>
      </c>
      <c r="F28" s="5">
        <f>F27/C27*C28</f>
        <v>187313.1313131313</v>
      </c>
      <c r="G28" s="6">
        <f t="shared" si="17"/>
        <v>8749386.27912458</v>
      </c>
      <c r="H28" s="5">
        <f t="shared" si="15"/>
        <v>71716.280976431</v>
      </c>
      <c r="I28" s="5">
        <f>I27/C27*C28</f>
        <v>4606648.722424243</v>
      </c>
      <c r="J28" s="5">
        <f>J27/C27*C28</f>
        <v>1391207.9154208754</v>
      </c>
      <c r="K28" s="5">
        <f>K27/C27*C28</f>
        <v>9414.949494949495</v>
      </c>
      <c r="L28" s="5">
        <f>L27/C27*C28</f>
        <v>39042.05387205387</v>
      </c>
      <c r="M28" s="5">
        <f>M27/C27*C28</f>
        <v>32911.24579124579</v>
      </c>
      <c r="N28" s="5">
        <f>N27/C27*C28</f>
        <v>1409632.0185858586</v>
      </c>
      <c r="O28" s="5"/>
      <c r="P28" s="5">
        <f>P27/C27*C28</f>
        <v>275493.2525252525</v>
      </c>
      <c r="Q28" s="5">
        <f>Q27/C27*C28</f>
        <v>719979.5084175083</v>
      </c>
      <c r="R28" s="5"/>
      <c r="S28" s="5">
        <f>S27/C27*C28</f>
        <v>69906.41077441078</v>
      </c>
      <c r="T28" s="5"/>
      <c r="U28" s="6">
        <f t="shared" si="18"/>
        <v>8554236.077306397</v>
      </c>
      <c r="V28" s="5">
        <f t="shared" si="16"/>
        <v>70116.68915824915</v>
      </c>
      <c r="W28" s="6">
        <f t="shared" si="6"/>
        <v>141832.97013468016</v>
      </c>
      <c r="X28" s="103">
        <f>X27</f>
        <v>1.5259250915034828</v>
      </c>
      <c r="Y28" s="36"/>
      <c r="Z28" s="36"/>
      <c r="AA28" s="15"/>
      <c r="AC28" s="45"/>
      <c r="AE28" s="18"/>
    </row>
    <row r="29" spans="1:31" s="19" customFormat="1" ht="45" customHeight="1">
      <c r="A29" s="87" t="s">
        <v>78</v>
      </c>
      <c r="B29" s="111"/>
      <c r="C29" s="96">
        <v>148</v>
      </c>
      <c r="D29" s="35">
        <f>D27/C27*C29</f>
        <v>7977555.498989899</v>
      </c>
      <c r="E29" s="35">
        <f>E27/C27*C29</f>
        <v>2409221.7622895623</v>
      </c>
      <c r="F29" s="5">
        <f>F27/C27*C29</f>
        <v>227232.32323232322</v>
      </c>
      <c r="G29" s="6">
        <f t="shared" si="17"/>
        <v>10614009.584511783</v>
      </c>
      <c r="H29" s="5">
        <f t="shared" si="15"/>
        <v>71716.28097643096</v>
      </c>
      <c r="I29" s="5">
        <f>I27/C27*C29</f>
        <v>5588393.532121212</v>
      </c>
      <c r="J29" s="5">
        <f>J27/C27*C29</f>
        <v>1687694.8482154883</v>
      </c>
      <c r="K29" s="5">
        <f>K27/C27*C29</f>
        <v>11421.414141414141</v>
      </c>
      <c r="L29" s="5">
        <f>L27/C27*C29</f>
        <v>47362.49158249158</v>
      </c>
      <c r="M29" s="5">
        <f>M27/C27*C29</f>
        <v>39925.11784511784</v>
      </c>
      <c r="N29" s="5">
        <f>N27/C27*C29</f>
        <v>1710045.3995959596</v>
      </c>
      <c r="O29" s="5"/>
      <c r="P29" s="5">
        <f>P27/C27*C29</f>
        <v>334204.9292929293</v>
      </c>
      <c r="Q29" s="5">
        <f>Q27/C27*C29</f>
        <v>873417.7643097643</v>
      </c>
      <c r="R29" s="5"/>
      <c r="S29" s="5">
        <f>S27/C27*C29</f>
        <v>84804.49831649831</v>
      </c>
      <c r="T29" s="5"/>
      <c r="U29" s="6">
        <f t="shared" si="18"/>
        <v>10377269.995420873</v>
      </c>
      <c r="V29" s="5">
        <f t="shared" si="16"/>
        <v>70116.68915824914</v>
      </c>
      <c r="W29" s="6">
        <f t="shared" si="6"/>
        <v>141832.9701346801</v>
      </c>
      <c r="X29" s="103">
        <f>X28</f>
        <v>1.5259250915034828</v>
      </c>
      <c r="Y29" s="36"/>
      <c r="Z29" s="36"/>
      <c r="AA29" s="15"/>
      <c r="AC29" s="45"/>
      <c r="AE29" s="18"/>
    </row>
    <row r="30" spans="1:31" s="19" customFormat="1" ht="45" customHeight="1">
      <c r="A30" s="87" t="s">
        <v>79</v>
      </c>
      <c r="B30" s="112"/>
      <c r="C30" s="96">
        <v>27</v>
      </c>
      <c r="D30" s="35">
        <f>D27/C27*C30</f>
        <v>1455364.8545454545</v>
      </c>
      <c r="E30" s="35">
        <f>E27/C27*C30</f>
        <v>439520.18636363634</v>
      </c>
      <c r="F30" s="5">
        <f>F27/C27*C30</f>
        <v>41454.545454545456</v>
      </c>
      <c r="G30" s="6">
        <f t="shared" si="17"/>
        <v>1936339.5863636362</v>
      </c>
      <c r="H30" s="5">
        <f t="shared" si="15"/>
        <v>71716.28097643096</v>
      </c>
      <c r="I30" s="5">
        <f>I27/C27*C30</f>
        <v>1019504.2254545455</v>
      </c>
      <c r="J30" s="5">
        <f>J27/C27*C30</f>
        <v>307890.27636363637</v>
      </c>
      <c r="K30" s="5">
        <f>K27/C27*C30</f>
        <v>2083.636363636364</v>
      </c>
      <c r="L30" s="5">
        <f>L27/C27*C30</f>
        <v>8640.454545454544</v>
      </c>
      <c r="M30" s="5">
        <f>M27/C27*C30</f>
        <v>7283.636363636363</v>
      </c>
      <c r="N30" s="5">
        <f>N27/C27*C30</f>
        <v>311967.7418181818</v>
      </c>
      <c r="O30" s="5"/>
      <c r="P30" s="5">
        <f>P27/C27*C30</f>
        <v>60969.818181818184</v>
      </c>
      <c r="Q30" s="5">
        <f>Q27/C27*C30</f>
        <v>159339.72727272726</v>
      </c>
      <c r="R30" s="5"/>
      <c r="S30" s="5">
        <f>S27/C27*C30</f>
        <v>15471.090909090908</v>
      </c>
      <c r="T30" s="5"/>
      <c r="U30" s="6">
        <f t="shared" si="18"/>
        <v>1893150.6072727274</v>
      </c>
      <c r="V30" s="5">
        <f t="shared" si="16"/>
        <v>70116.68915824917</v>
      </c>
      <c r="W30" s="6">
        <f t="shared" si="6"/>
        <v>141832.97013468013</v>
      </c>
      <c r="X30" s="103">
        <f>X29</f>
        <v>1.5259250915034828</v>
      </c>
      <c r="Y30" s="36"/>
      <c r="Z30" s="36"/>
      <c r="AA30" s="15"/>
      <c r="AC30" s="45"/>
      <c r="AE30" s="18"/>
    </row>
    <row r="31" spans="1:31" s="47" customFormat="1" ht="27" customHeight="1">
      <c r="A31" s="86" t="s">
        <v>74</v>
      </c>
      <c r="B31" s="110" t="s">
        <v>1</v>
      </c>
      <c r="C31" s="96">
        <f>C32+C33+C34</f>
        <v>1010</v>
      </c>
      <c r="D31" s="35">
        <v>35811923.88</v>
      </c>
      <c r="E31" s="35">
        <v>10815201.01</v>
      </c>
      <c r="F31" s="35">
        <v>1530000</v>
      </c>
      <c r="G31" s="6">
        <f t="shared" si="17"/>
        <v>48157124.89</v>
      </c>
      <c r="H31" s="5">
        <f t="shared" si="15"/>
        <v>47680.321673267325</v>
      </c>
      <c r="I31" s="35">
        <v>23300882.4</v>
      </c>
      <c r="J31" s="35">
        <v>7036866.48</v>
      </c>
      <c r="K31" s="35">
        <v>55792</v>
      </c>
      <c r="L31" s="35">
        <v>97783</v>
      </c>
      <c r="M31" s="35">
        <v>160300</v>
      </c>
      <c r="N31" s="35">
        <v>5955646.11</v>
      </c>
      <c r="O31" s="35"/>
      <c r="P31" s="35">
        <v>905704</v>
      </c>
      <c r="Q31" s="35">
        <v>3306336</v>
      </c>
      <c r="R31" s="35"/>
      <c r="S31" s="35">
        <v>630664</v>
      </c>
      <c r="T31" s="5"/>
      <c r="U31" s="6">
        <f>SUM(I31:T31)</f>
        <v>41449973.99</v>
      </c>
      <c r="V31" s="5">
        <f t="shared" si="16"/>
        <v>41039.57820792079</v>
      </c>
      <c r="W31" s="6">
        <f t="shared" si="6"/>
        <v>88719.89988118812</v>
      </c>
      <c r="X31" s="103">
        <f>W31/W43</f>
        <v>0.954502477215483</v>
      </c>
      <c r="Y31" s="36">
        <f>G31+U31</f>
        <v>89607098.88</v>
      </c>
      <c r="Z31" s="36">
        <f>U31+G31+77238+42200</f>
        <v>89726536.88</v>
      </c>
      <c r="AA31" s="15"/>
      <c r="AB31" s="91">
        <f>D31+I31</f>
        <v>59112806.28</v>
      </c>
      <c r="AC31" s="92">
        <f>E31+J31</f>
        <v>17852067.490000002</v>
      </c>
      <c r="AD31" s="91">
        <f>AB31+AC31</f>
        <v>76964873.77000001</v>
      </c>
      <c r="AE31" s="91"/>
    </row>
    <row r="32" spans="1:31" s="19" customFormat="1" ht="48" customHeight="1">
      <c r="A32" s="87" t="s">
        <v>77</v>
      </c>
      <c r="B32" s="111"/>
      <c r="C32" s="96">
        <v>439</v>
      </c>
      <c r="D32" s="35">
        <f>D31/C31*C32</f>
        <v>15565776.81516832</v>
      </c>
      <c r="E32" s="35">
        <f>E31/C31*C32</f>
        <v>4700864.597415841</v>
      </c>
      <c r="F32" s="5">
        <f>F31/C31*C32</f>
        <v>665019.801980198</v>
      </c>
      <c r="G32" s="6">
        <f t="shared" si="17"/>
        <v>20931661.214564357</v>
      </c>
      <c r="H32" s="5">
        <f t="shared" si="15"/>
        <v>47680.321673267325</v>
      </c>
      <c r="I32" s="5">
        <f>I31/C31*C32</f>
        <v>10127809.28079208</v>
      </c>
      <c r="J32" s="5">
        <f>J31/C31*C32</f>
        <v>3058598.4007128715</v>
      </c>
      <c r="K32" s="5">
        <f>K31/C31*C32</f>
        <v>24250.186138613863</v>
      </c>
      <c r="L32" s="5">
        <f>L31/C31*C32</f>
        <v>42501.719801980194</v>
      </c>
      <c r="M32" s="5">
        <f>M31/C31*C32</f>
        <v>69674.9504950495</v>
      </c>
      <c r="N32" s="5">
        <f>N31/C31*C32</f>
        <v>2588642.220089109</v>
      </c>
      <c r="O32" s="5"/>
      <c r="P32" s="5">
        <f>P31/C31*C32</f>
        <v>393667.3821782178</v>
      </c>
      <c r="Q32" s="5">
        <f>Q31/C31*C32</f>
        <v>1437110.4</v>
      </c>
      <c r="R32" s="5"/>
      <c r="S32" s="5">
        <f>S31/C31*C32</f>
        <v>274120.29306930694</v>
      </c>
      <c r="T32" s="5"/>
      <c r="U32" s="6">
        <f t="shared" si="18"/>
        <v>18016374.83327723</v>
      </c>
      <c r="V32" s="5">
        <f t="shared" si="16"/>
        <v>41039.57820792079</v>
      </c>
      <c r="W32" s="6">
        <f t="shared" si="6"/>
        <v>88719.89988118812</v>
      </c>
      <c r="X32" s="103">
        <f>X31</f>
        <v>0.954502477215483</v>
      </c>
      <c r="Y32" s="36"/>
      <c r="Z32" s="36"/>
      <c r="AA32" s="15"/>
      <c r="AC32" s="45"/>
      <c r="AE32" s="18"/>
    </row>
    <row r="33" spans="1:31" s="19" customFormat="1" ht="48" customHeight="1">
      <c r="A33" s="87" t="s">
        <v>78</v>
      </c>
      <c r="B33" s="111"/>
      <c r="C33" s="96">
        <v>477</v>
      </c>
      <c r="D33" s="35">
        <f>D31/C31*C33</f>
        <v>16913156.12946535</v>
      </c>
      <c r="E33" s="35">
        <f>E31/C31*C33</f>
        <v>5107773.150267326</v>
      </c>
      <c r="F33" s="5">
        <f>F31/C31*C33</f>
        <v>722584.1584158416</v>
      </c>
      <c r="G33" s="6">
        <f t="shared" si="17"/>
        <v>22743513.438148517</v>
      </c>
      <c r="H33" s="5">
        <f t="shared" si="15"/>
        <v>47680.32167326733</v>
      </c>
      <c r="I33" s="5">
        <f>I31/C31*C33</f>
        <v>11004476.143366337</v>
      </c>
      <c r="J33" s="5">
        <f>J31/C31*C33</f>
        <v>3323351.793029703</v>
      </c>
      <c r="K33" s="5">
        <f>K31/C31*C33</f>
        <v>26349.291089108912</v>
      </c>
      <c r="L33" s="5">
        <f>L31/C31*C33</f>
        <v>46180.68415841584</v>
      </c>
      <c r="M33" s="5">
        <f>M31/C31*C33</f>
        <v>75706.0396039604</v>
      </c>
      <c r="N33" s="5">
        <f>N31/C31*C33</f>
        <v>2812716.034128713</v>
      </c>
      <c r="O33" s="5"/>
      <c r="P33" s="5">
        <f>P31/C31*C33</f>
        <v>427743.3742574257</v>
      </c>
      <c r="Q33" s="5">
        <f>Q31/C31*C33</f>
        <v>1561507.2</v>
      </c>
      <c r="R33" s="5"/>
      <c r="S33" s="5">
        <f>S31/C31*C33</f>
        <v>297848.24554455443</v>
      </c>
      <c r="T33" s="5"/>
      <c r="U33" s="6">
        <f t="shared" si="18"/>
        <v>19575878.805178218</v>
      </c>
      <c r="V33" s="5">
        <f t="shared" si="16"/>
        <v>41039.57820792079</v>
      </c>
      <c r="W33" s="6">
        <f t="shared" si="6"/>
        <v>88719.89988118812</v>
      </c>
      <c r="X33" s="103">
        <f>X32</f>
        <v>0.954502477215483</v>
      </c>
      <c r="Y33" s="36"/>
      <c r="Z33" s="36"/>
      <c r="AA33" s="15"/>
      <c r="AC33" s="45"/>
      <c r="AE33" s="18"/>
    </row>
    <row r="34" spans="1:31" s="19" customFormat="1" ht="48" customHeight="1">
      <c r="A34" s="87" t="s">
        <v>79</v>
      </c>
      <c r="B34" s="112"/>
      <c r="C34" s="96">
        <v>94</v>
      </c>
      <c r="D34" s="35">
        <f>D31/C31*C34</f>
        <v>3332990.935366337</v>
      </c>
      <c r="E34" s="35">
        <f>E31/C31*C34</f>
        <v>1006563.2623168316</v>
      </c>
      <c r="F34" s="5">
        <f>F31/C31*C34</f>
        <v>142396.0396039604</v>
      </c>
      <c r="G34" s="6">
        <f t="shared" si="17"/>
        <v>4481950.237287129</v>
      </c>
      <c r="H34" s="5">
        <f t="shared" si="15"/>
        <v>47680.32167326733</v>
      </c>
      <c r="I34" s="5">
        <f>I31/C31*C34</f>
        <v>2168596.975841584</v>
      </c>
      <c r="J34" s="5">
        <f>J31/C31*C34</f>
        <v>654916.2862574258</v>
      </c>
      <c r="K34" s="5">
        <f>K31/C31*C34</f>
        <v>5192.522772277228</v>
      </c>
      <c r="L34" s="5">
        <f>L31/C31*C34</f>
        <v>9100.596039603959</v>
      </c>
      <c r="M34" s="5">
        <f>M31/C31*C34</f>
        <v>14919.009900990099</v>
      </c>
      <c r="N34" s="5">
        <f>N31/C31*C34</f>
        <v>554287.8557821782</v>
      </c>
      <c r="O34" s="5"/>
      <c r="P34" s="5">
        <f>P31/C31*C34</f>
        <v>84293.24356435644</v>
      </c>
      <c r="Q34" s="5">
        <f>Q31/C31*C34</f>
        <v>307718.39999999997</v>
      </c>
      <c r="R34" s="5"/>
      <c r="S34" s="5">
        <f>S31/C31*C34</f>
        <v>58695.46138613862</v>
      </c>
      <c r="T34" s="5"/>
      <c r="U34" s="6">
        <f t="shared" si="18"/>
        <v>3857720.3515445543</v>
      </c>
      <c r="V34" s="5">
        <f t="shared" si="16"/>
        <v>41039.57820792079</v>
      </c>
      <c r="W34" s="6">
        <f t="shared" si="6"/>
        <v>88719.89988118812</v>
      </c>
      <c r="X34" s="103">
        <f>X33</f>
        <v>0.954502477215483</v>
      </c>
      <c r="Y34" s="36"/>
      <c r="Z34" s="36"/>
      <c r="AA34" s="15"/>
      <c r="AC34" s="45"/>
      <c r="AE34" s="18"/>
    </row>
    <row r="35" spans="1:31" s="47" customFormat="1" ht="24.75" customHeight="1">
      <c r="A35" s="86" t="s">
        <v>75</v>
      </c>
      <c r="B35" s="110" t="s">
        <v>1</v>
      </c>
      <c r="C35" s="96">
        <f>C36+C37+C38</f>
        <v>511</v>
      </c>
      <c r="D35" s="35">
        <v>21128713.8</v>
      </c>
      <c r="E35" s="35">
        <v>6380871.57</v>
      </c>
      <c r="F35" s="35">
        <v>766500</v>
      </c>
      <c r="G35" s="6">
        <f t="shared" si="17"/>
        <v>28276085.37</v>
      </c>
      <c r="H35" s="5">
        <f t="shared" si="15"/>
        <v>55334.80502935421</v>
      </c>
      <c r="I35" s="35">
        <v>14359787.28</v>
      </c>
      <c r="J35" s="35">
        <v>4336655.76</v>
      </c>
      <c r="K35" s="35">
        <v>22920</v>
      </c>
      <c r="L35" s="35">
        <v>93537</v>
      </c>
      <c r="M35" s="35">
        <v>64120</v>
      </c>
      <c r="N35" s="35">
        <v>3078396.1</v>
      </c>
      <c r="O35" s="35"/>
      <c r="P35" s="35">
        <v>611004</v>
      </c>
      <c r="Q35" s="35">
        <v>2824724</v>
      </c>
      <c r="R35" s="35"/>
      <c r="S35" s="35">
        <v>317335</v>
      </c>
      <c r="T35" s="5"/>
      <c r="U35" s="6">
        <f>SUM(I35:T35)</f>
        <v>25708479.14</v>
      </c>
      <c r="V35" s="5">
        <f t="shared" si="16"/>
        <v>50310.13530332681</v>
      </c>
      <c r="W35" s="6">
        <f t="shared" si="6"/>
        <v>105644.94033268103</v>
      </c>
      <c r="X35" s="103">
        <f>W35/W43</f>
        <v>1.1365923246967886</v>
      </c>
      <c r="Y35" s="36">
        <f>G35+U35</f>
        <v>53984564.510000005</v>
      </c>
      <c r="Z35" s="36">
        <f>U35+G35+107007+48162</f>
        <v>54139733.510000005</v>
      </c>
      <c r="AA35" s="15"/>
      <c r="AB35" s="91">
        <f>D35+I35</f>
        <v>35488501.08</v>
      </c>
      <c r="AC35" s="92">
        <f>E35+J35</f>
        <v>10717527.33</v>
      </c>
      <c r="AD35" s="91">
        <f>AB35+AC35</f>
        <v>46206028.41</v>
      </c>
      <c r="AE35" s="91"/>
    </row>
    <row r="36" spans="1:31" s="19" customFormat="1" ht="45.75" customHeight="1">
      <c r="A36" s="87" t="s">
        <v>77</v>
      </c>
      <c r="B36" s="111"/>
      <c r="C36" s="96">
        <v>203</v>
      </c>
      <c r="D36" s="35">
        <f>D35/C35*C36</f>
        <v>8393598.632876713</v>
      </c>
      <c r="E36" s="35">
        <f>E35/C35*C36</f>
        <v>2534866.7880821917</v>
      </c>
      <c r="F36" s="5">
        <f>F35/C35*C36</f>
        <v>304500</v>
      </c>
      <c r="G36" s="6">
        <f t="shared" si="17"/>
        <v>11232965.420958905</v>
      </c>
      <c r="H36" s="5">
        <f t="shared" si="15"/>
        <v>55334.80502935421</v>
      </c>
      <c r="I36" s="5">
        <f>I35/C35*C36</f>
        <v>5704573.029041096</v>
      </c>
      <c r="J36" s="5">
        <f>J35/C35*C36</f>
        <v>1722781.0553424654</v>
      </c>
      <c r="K36" s="5">
        <f>K35/C35*C36</f>
        <v>9105.205479452054</v>
      </c>
      <c r="L36" s="5">
        <f>L35/C35*C36</f>
        <v>37158.53424657534</v>
      </c>
      <c r="M36" s="5">
        <f>M35/C35*C36</f>
        <v>25472.328767123287</v>
      </c>
      <c r="N36" s="5">
        <f>N35/C35*C36</f>
        <v>1222924.4780821917</v>
      </c>
      <c r="O36" s="5"/>
      <c r="P36" s="5">
        <f>P35/C35*C36</f>
        <v>242727.61643835617</v>
      </c>
      <c r="Q36" s="5">
        <f>Q35/C35*C36</f>
        <v>1122150.6301369863</v>
      </c>
      <c r="R36" s="5"/>
      <c r="S36" s="5">
        <f>S35/C35*C36</f>
        <v>126064.5890410959</v>
      </c>
      <c r="T36" s="5"/>
      <c r="U36" s="6">
        <f t="shared" si="18"/>
        <v>10212957.46657534</v>
      </c>
      <c r="V36" s="5">
        <f t="shared" si="16"/>
        <v>50310.135303326795</v>
      </c>
      <c r="W36" s="6">
        <f t="shared" si="6"/>
        <v>105644.940332681</v>
      </c>
      <c r="X36" s="103">
        <f>X35</f>
        <v>1.1365923246967886</v>
      </c>
      <c r="Y36" s="36"/>
      <c r="Z36" s="36"/>
      <c r="AA36" s="15"/>
      <c r="AC36" s="45"/>
      <c r="AE36" s="18"/>
    </row>
    <row r="37" spans="1:31" s="19" customFormat="1" ht="45.75" customHeight="1">
      <c r="A37" s="87" t="s">
        <v>78</v>
      </c>
      <c r="B37" s="111"/>
      <c r="C37" s="96">
        <v>241</v>
      </c>
      <c r="D37" s="35">
        <f>D35/C35*C37</f>
        <v>9964814.140508806</v>
      </c>
      <c r="E37" s="35">
        <f>E35/C35*C37</f>
        <v>3009373.871565558</v>
      </c>
      <c r="F37" s="5">
        <f>F35/C35*C37</f>
        <v>361500</v>
      </c>
      <c r="G37" s="6">
        <f t="shared" si="17"/>
        <v>13335688.012074364</v>
      </c>
      <c r="H37" s="5">
        <f t="shared" si="15"/>
        <v>55334.80502935421</v>
      </c>
      <c r="I37" s="5">
        <f>I35/C35*C37</f>
        <v>6772424.137925635</v>
      </c>
      <c r="J37" s="5">
        <f>J35/C35*C37</f>
        <v>2045272.0903326808</v>
      </c>
      <c r="K37" s="5">
        <f>K35/C35*C37</f>
        <v>10809.628180039139</v>
      </c>
      <c r="L37" s="5">
        <f>L35/C35*C37</f>
        <v>44114.31898238748</v>
      </c>
      <c r="M37" s="5">
        <f>M35/C35*C37</f>
        <v>30240.54794520548</v>
      </c>
      <c r="N37" s="5">
        <f>N35/C35*C37</f>
        <v>1451846.3015655577</v>
      </c>
      <c r="O37" s="5"/>
      <c r="P37" s="5">
        <f>P35/C35*C37</f>
        <v>288164.313111546</v>
      </c>
      <c r="Q37" s="5">
        <f>Q35/C35*C37</f>
        <v>1332208.3835616438</v>
      </c>
      <c r="R37" s="5"/>
      <c r="S37" s="5">
        <f>S35/C35*C37</f>
        <v>149662.88649706458</v>
      </c>
      <c r="T37" s="5"/>
      <c r="U37" s="6">
        <f t="shared" si="18"/>
        <v>12124742.60810176</v>
      </c>
      <c r="V37" s="5">
        <f t="shared" si="16"/>
        <v>50310.1353033268</v>
      </c>
      <c r="W37" s="6">
        <f t="shared" si="6"/>
        <v>105644.94033268101</v>
      </c>
      <c r="X37" s="103">
        <f>X36</f>
        <v>1.1365923246967886</v>
      </c>
      <c r="Y37" s="36"/>
      <c r="Z37" s="36"/>
      <c r="AA37" s="15"/>
      <c r="AC37" s="45"/>
      <c r="AE37" s="18"/>
    </row>
    <row r="38" spans="1:31" s="19" customFormat="1" ht="45.75" customHeight="1">
      <c r="A38" s="87" t="s">
        <v>79</v>
      </c>
      <c r="B38" s="112"/>
      <c r="C38" s="96">
        <v>67</v>
      </c>
      <c r="D38" s="35">
        <f>D35/C35*C38</f>
        <v>2770301.0266144816</v>
      </c>
      <c r="E38" s="35">
        <f>E35/C35*C38</f>
        <v>836630.9103522506</v>
      </c>
      <c r="F38" s="5">
        <f>F35/C35*C38</f>
        <v>100500</v>
      </c>
      <c r="G38" s="6">
        <f t="shared" si="17"/>
        <v>3707431.936966732</v>
      </c>
      <c r="H38" s="5">
        <f t="shared" si="15"/>
        <v>55334.80502935421</v>
      </c>
      <c r="I38" s="5">
        <f>I35/C35*C38</f>
        <v>1882790.113033268</v>
      </c>
      <c r="J38" s="5">
        <f>J35/C35*C38</f>
        <v>568602.6143248532</v>
      </c>
      <c r="K38" s="5">
        <f>K35/C35*C38</f>
        <v>3005.166340508806</v>
      </c>
      <c r="L38" s="5">
        <f>L35/C35*C38</f>
        <v>12264.146771037182</v>
      </c>
      <c r="M38" s="5">
        <f>M35/C35*C38</f>
        <v>8407.123287671233</v>
      </c>
      <c r="N38" s="5">
        <f>N35/C35*C38</f>
        <v>403625.3203522505</v>
      </c>
      <c r="O38" s="5"/>
      <c r="P38" s="5">
        <f>P35/C35*C38</f>
        <v>80112.07045009785</v>
      </c>
      <c r="Q38" s="5">
        <f>Q35/C35*C38</f>
        <v>370364.98630136985</v>
      </c>
      <c r="R38" s="5"/>
      <c r="S38" s="5">
        <f>S35/C35*C38</f>
        <v>41607.52446183953</v>
      </c>
      <c r="T38" s="5"/>
      <c r="U38" s="6">
        <f t="shared" si="18"/>
        <v>3370779.065322896</v>
      </c>
      <c r="V38" s="5">
        <f t="shared" si="16"/>
        <v>50310.1353033268</v>
      </c>
      <c r="W38" s="6">
        <f t="shared" si="6"/>
        <v>105644.94033268101</v>
      </c>
      <c r="X38" s="103">
        <f>X37</f>
        <v>1.1365923246967886</v>
      </c>
      <c r="Y38" s="36"/>
      <c r="Z38" s="36"/>
      <c r="AA38" s="15"/>
      <c r="AC38" s="45"/>
      <c r="AE38" s="18"/>
    </row>
    <row r="39" spans="1:31" s="47" customFormat="1" ht="24.75" customHeight="1">
      <c r="A39" s="86" t="s">
        <v>76</v>
      </c>
      <c r="B39" s="110" t="s">
        <v>1</v>
      </c>
      <c r="C39" s="96">
        <f>C40+C41+C42</f>
        <v>1199</v>
      </c>
      <c r="D39" s="35">
        <v>42635057.76</v>
      </c>
      <c r="E39" s="35">
        <v>12875787.44</v>
      </c>
      <c r="F39" s="35">
        <v>1809000</v>
      </c>
      <c r="G39" s="6">
        <f t="shared" si="17"/>
        <v>57319845.199999996</v>
      </c>
      <c r="H39" s="5">
        <f t="shared" si="15"/>
        <v>47806.37631359466</v>
      </c>
      <c r="I39" s="35">
        <v>20996114.16</v>
      </c>
      <c r="J39" s="35">
        <v>6340826.48</v>
      </c>
      <c r="K39" s="35">
        <v>69534</v>
      </c>
      <c r="L39" s="35">
        <v>172329</v>
      </c>
      <c r="M39" s="35">
        <v>85288</v>
      </c>
      <c r="N39" s="35">
        <v>7166410.42</v>
      </c>
      <c r="O39" s="35"/>
      <c r="P39" s="35">
        <v>588449</v>
      </c>
      <c r="Q39" s="35">
        <v>2837290</v>
      </c>
      <c r="R39" s="35"/>
      <c r="S39" s="35">
        <v>666834</v>
      </c>
      <c r="T39" s="5"/>
      <c r="U39" s="6">
        <f>SUM(I39:T39)</f>
        <v>38923075.06</v>
      </c>
      <c r="V39" s="5">
        <f t="shared" si="16"/>
        <v>32462.948340283572</v>
      </c>
      <c r="W39" s="6">
        <f t="shared" si="6"/>
        <v>80269.32465387823</v>
      </c>
      <c r="X39" s="103">
        <f>W39/W43</f>
        <v>0.8635860650107235</v>
      </c>
      <c r="Y39" s="36">
        <f>G39+U39</f>
        <v>96242920.25999999</v>
      </c>
      <c r="Z39" s="36">
        <f>U39+G39+72496+33400</f>
        <v>96348816.25999999</v>
      </c>
      <c r="AA39" s="15"/>
      <c r="AB39" s="91">
        <f>D39+I39</f>
        <v>63631171.92</v>
      </c>
      <c r="AC39" s="92">
        <f>E39+J39</f>
        <v>19216613.92</v>
      </c>
      <c r="AD39" s="91">
        <f>AB39+AC39</f>
        <v>82847785.84</v>
      </c>
      <c r="AE39" s="91"/>
    </row>
    <row r="40" spans="1:31" s="19" customFormat="1" ht="45" customHeight="1">
      <c r="A40" s="87" t="s">
        <v>77</v>
      </c>
      <c r="B40" s="111"/>
      <c r="C40" s="96">
        <v>520</v>
      </c>
      <c r="D40" s="35">
        <f>D39/C39*C40</f>
        <v>18490600.52977481</v>
      </c>
      <c r="E40" s="35">
        <f>E39/C39*C40</f>
        <v>5584161.3584653875</v>
      </c>
      <c r="F40" s="5">
        <f>F39/C39*C40</f>
        <v>784553.7948290241</v>
      </c>
      <c r="G40" s="6">
        <f t="shared" si="17"/>
        <v>24859315.683069225</v>
      </c>
      <c r="H40" s="5">
        <f t="shared" si="15"/>
        <v>47806.376313594665</v>
      </c>
      <c r="I40" s="5">
        <f>I39/C39*C40</f>
        <v>9105904.389658049</v>
      </c>
      <c r="J40" s="5">
        <f>J39/C39*C40</f>
        <v>2749983.1272727274</v>
      </c>
      <c r="K40" s="5">
        <f>K39/C39*C40</f>
        <v>30156.53044203503</v>
      </c>
      <c r="L40" s="5">
        <f>L39/C39*C40</f>
        <v>74738.18181818181</v>
      </c>
      <c r="M40" s="5">
        <f>M39/C39*C40</f>
        <v>36988.957464553794</v>
      </c>
      <c r="N40" s="5">
        <f>N39/C39*C40</f>
        <v>3108034.5441201</v>
      </c>
      <c r="O40" s="5"/>
      <c r="P40" s="5">
        <f>P39/C39*C40</f>
        <v>255207.23936613847</v>
      </c>
      <c r="Q40" s="5">
        <f>Q39/C39*C40</f>
        <v>1230517.7648040033</v>
      </c>
      <c r="R40" s="5"/>
      <c r="S40" s="5">
        <f>S39/C39*C40</f>
        <v>289202.40200166806</v>
      </c>
      <c r="T40" s="5"/>
      <c r="U40" s="6">
        <f t="shared" si="18"/>
        <v>16880733.136947457</v>
      </c>
      <c r="V40" s="5">
        <f t="shared" si="16"/>
        <v>32462.948340283572</v>
      </c>
      <c r="W40" s="6">
        <f t="shared" si="6"/>
        <v>80269.32465387824</v>
      </c>
      <c r="X40" s="103">
        <f>X39</f>
        <v>0.8635860650107235</v>
      </c>
      <c r="Y40" s="36"/>
      <c r="Z40" s="36"/>
      <c r="AA40" s="15"/>
      <c r="AC40" s="45"/>
      <c r="AE40" s="18"/>
    </row>
    <row r="41" spans="1:31" s="19" customFormat="1" ht="45" customHeight="1">
      <c r="A41" s="87" t="s">
        <v>78</v>
      </c>
      <c r="B41" s="111"/>
      <c r="C41" s="96">
        <v>555</v>
      </c>
      <c r="D41" s="35">
        <f>D39/C39*C41</f>
        <v>19735160.180817347</v>
      </c>
      <c r="E41" s="35">
        <f>E39/C39*C41</f>
        <v>5960018.372977481</v>
      </c>
      <c r="F41" s="5">
        <f>F39/C39*C41</f>
        <v>837360.3002502085</v>
      </c>
      <c r="G41" s="6">
        <f t="shared" si="17"/>
        <v>26532538.854045037</v>
      </c>
      <c r="H41" s="5">
        <f t="shared" si="15"/>
        <v>47806.376313594665</v>
      </c>
      <c r="I41" s="5">
        <f>I39/C39*C41</f>
        <v>9718801.800500417</v>
      </c>
      <c r="J41" s="5">
        <f>J39/C39*C41</f>
        <v>2935078.145454546</v>
      </c>
      <c r="K41" s="5">
        <f>K39/C39*C41</f>
        <v>32186.29691409508</v>
      </c>
      <c r="L41" s="5">
        <f>L39/C39*C41</f>
        <v>79768.63636363635</v>
      </c>
      <c r="M41" s="5">
        <f>M39/C39*C41</f>
        <v>39478.5988323603</v>
      </c>
      <c r="N41" s="5">
        <f>N39/C39*C41</f>
        <v>3317229.1768974145</v>
      </c>
      <c r="O41" s="5"/>
      <c r="P41" s="5">
        <f>P39/C39*C41</f>
        <v>272384.64970809006</v>
      </c>
      <c r="Q41" s="5">
        <f>Q39/C39*C41</f>
        <v>1313341.0758965805</v>
      </c>
      <c r="R41" s="5"/>
      <c r="S41" s="5">
        <f>S39/C39*C41</f>
        <v>308667.9482902419</v>
      </c>
      <c r="T41" s="5"/>
      <c r="U41" s="6">
        <f t="shared" si="18"/>
        <v>18016936.328857385</v>
      </c>
      <c r="V41" s="5">
        <f t="shared" si="16"/>
        <v>32462.948340283576</v>
      </c>
      <c r="W41" s="6">
        <f t="shared" si="6"/>
        <v>80269.32465387824</v>
      </c>
      <c r="X41" s="103">
        <f>X40</f>
        <v>0.8635860650107235</v>
      </c>
      <c r="Y41" s="36"/>
      <c r="Z41" s="36"/>
      <c r="AA41" s="15"/>
      <c r="AC41" s="45"/>
      <c r="AE41" s="18"/>
    </row>
    <row r="42" spans="1:31" s="19" customFormat="1" ht="45" customHeight="1">
      <c r="A42" s="87" t="s">
        <v>79</v>
      </c>
      <c r="B42" s="112"/>
      <c r="C42" s="96">
        <v>124</v>
      </c>
      <c r="D42" s="35">
        <f>D39/C39*C42</f>
        <v>4409297.04940784</v>
      </c>
      <c r="E42" s="35">
        <f>E39/C39*C42</f>
        <v>1331607.708557131</v>
      </c>
      <c r="F42" s="5">
        <f>F39/C39*C42</f>
        <v>187085.9049207673</v>
      </c>
      <c r="G42" s="6">
        <f t="shared" si="17"/>
        <v>5927990.662885738</v>
      </c>
      <c r="H42" s="5">
        <f t="shared" si="15"/>
        <v>47806.37631359466</v>
      </c>
      <c r="I42" s="5">
        <f>I39/C39*C42</f>
        <v>2171407.9698415347</v>
      </c>
      <c r="J42" s="5">
        <f>J39/C39*C42</f>
        <v>655765.2072727274</v>
      </c>
      <c r="K42" s="5">
        <f>K39/C39*C42</f>
        <v>7191.1726438698915</v>
      </c>
      <c r="L42" s="5">
        <f>L39/C39*C42</f>
        <v>17822.181818181816</v>
      </c>
      <c r="M42" s="5">
        <f>M39/C39*C42</f>
        <v>8820.443703085904</v>
      </c>
      <c r="N42" s="5">
        <f>N39/C39*C42</f>
        <v>741146.6989824853</v>
      </c>
      <c r="O42" s="5"/>
      <c r="P42" s="5">
        <f>P39/C39*C42</f>
        <v>60857.11092577148</v>
      </c>
      <c r="Q42" s="5">
        <f>Q39/C39*C42</f>
        <v>293431.1592994162</v>
      </c>
      <c r="R42" s="5"/>
      <c r="S42" s="5">
        <f>S39/C39*C42</f>
        <v>68963.64970809007</v>
      </c>
      <c r="T42" s="5"/>
      <c r="U42" s="6">
        <f t="shared" si="18"/>
        <v>4025405.594195163</v>
      </c>
      <c r="V42" s="5">
        <f t="shared" si="16"/>
        <v>32462.948340283572</v>
      </c>
      <c r="W42" s="6">
        <f>H42+V42</f>
        <v>80269.32465387823</v>
      </c>
      <c r="X42" s="103">
        <f>X41</f>
        <v>0.8635860650107235</v>
      </c>
      <c r="Y42" s="36"/>
      <c r="Z42" s="36"/>
      <c r="AA42" s="15"/>
      <c r="AC42" s="45"/>
      <c r="AE42" s="18"/>
    </row>
    <row r="43" spans="1:30" s="23" customFormat="1" ht="24.75" customHeight="1">
      <c r="A43" s="93" t="s">
        <v>80</v>
      </c>
      <c r="B43" s="94" t="s">
        <v>1</v>
      </c>
      <c r="C43" s="95">
        <f>C39+C35+C31+C27+C23</f>
        <v>3411</v>
      </c>
      <c r="D43" s="95">
        <f aca="true" t="shared" si="19" ref="D43:U43">D39+D35+D31+D27+D23</f>
        <v>134388197.16</v>
      </c>
      <c r="E43" s="95">
        <f t="shared" si="19"/>
        <v>40585235.53999999</v>
      </c>
      <c r="F43" s="95">
        <f t="shared" si="19"/>
        <v>5151000</v>
      </c>
      <c r="G43" s="95">
        <f t="shared" si="19"/>
        <v>180124432.7</v>
      </c>
      <c r="H43" s="5">
        <f t="shared" si="15"/>
        <v>52806.92837877455</v>
      </c>
      <c r="I43" s="95">
        <f t="shared" si="19"/>
        <v>76828787.52</v>
      </c>
      <c r="J43" s="95">
        <f t="shared" si="19"/>
        <v>23202293.83</v>
      </c>
      <c r="K43" s="95">
        <f t="shared" si="19"/>
        <v>192578</v>
      </c>
      <c r="L43" s="95">
        <f t="shared" si="19"/>
        <v>492631</v>
      </c>
      <c r="M43" s="95">
        <f t="shared" si="19"/>
        <v>457848</v>
      </c>
      <c r="N43" s="95">
        <f t="shared" si="19"/>
        <v>19632097.79</v>
      </c>
      <c r="O43" s="95">
        <f t="shared" si="19"/>
        <v>0</v>
      </c>
      <c r="P43" s="95">
        <f t="shared" si="19"/>
        <v>2820489</v>
      </c>
      <c r="Q43" s="95">
        <f t="shared" si="19"/>
        <v>11281102</v>
      </c>
      <c r="R43" s="95">
        <f t="shared" si="19"/>
        <v>0</v>
      </c>
      <c r="S43" s="95">
        <f t="shared" si="19"/>
        <v>2016240</v>
      </c>
      <c r="T43" s="95">
        <f t="shared" si="19"/>
        <v>0</v>
      </c>
      <c r="U43" s="95">
        <f t="shared" si="19"/>
        <v>136924067.14000002</v>
      </c>
      <c r="V43" s="5">
        <f t="shared" si="16"/>
        <v>40141.913556141895</v>
      </c>
      <c r="W43" s="6">
        <f>H43+V43</f>
        <v>92948.84193491645</v>
      </c>
      <c r="X43" s="95"/>
      <c r="Y43" s="36">
        <f>G43+U43</f>
        <v>317048499.84000003</v>
      </c>
      <c r="Z43" s="36"/>
      <c r="AA43" s="36"/>
      <c r="AB43" s="91">
        <f>D43+I43</f>
        <v>211216984.68</v>
      </c>
      <c r="AC43" s="92">
        <f>E43+J43</f>
        <v>63787529.36999999</v>
      </c>
      <c r="AD43" s="91">
        <f>AB43+AC43</f>
        <v>275004514.05</v>
      </c>
    </row>
    <row r="44" spans="1:28" s="14" customFormat="1" ht="89.25">
      <c r="A44" s="11"/>
      <c r="B44" s="11"/>
      <c r="C44" s="96"/>
      <c r="D44" s="5"/>
      <c r="E44" s="5"/>
      <c r="F44" s="5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  <c r="V44" s="99"/>
      <c r="W44" s="6"/>
      <c r="X44" s="29"/>
      <c r="Y44" s="23"/>
      <c r="AA44" s="51" t="s">
        <v>49</v>
      </c>
      <c r="AB44" s="51"/>
    </row>
    <row r="45" spans="1:31" s="26" customFormat="1" ht="24.75" customHeight="1" hidden="1">
      <c r="A45" s="56" t="s">
        <v>21</v>
      </c>
      <c r="B45" s="57" t="s">
        <v>32</v>
      </c>
      <c r="C45" s="7">
        <f>C46+C47+C48+C49</f>
        <v>246054</v>
      </c>
      <c r="D45" s="95">
        <f>D46+D47+D48+D49</f>
        <v>9787744.799989853</v>
      </c>
      <c r="E45" s="95">
        <f>E46+E47+E48+E49</f>
        <v>2955898.929987964</v>
      </c>
      <c r="F45" s="7">
        <f>F46+F47+F48+F49</f>
        <v>0</v>
      </c>
      <c r="G45" s="6">
        <f>SUM(D45:F45)</f>
        <v>12743643.729977816</v>
      </c>
      <c r="H45" s="82">
        <f aca="true" t="shared" si="20" ref="H45:H64">G45/C45</f>
        <v>51.792060807700004</v>
      </c>
      <c r="I45" s="6">
        <f>I46+I47+I48++I49</f>
        <v>7028523.87997582</v>
      </c>
      <c r="J45" s="6">
        <f aca="true" t="shared" si="21" ref="J45:T45">J46+J47+J48++J49</f>
        <v>2122613.42001426</v>
      </c>
      <c r="K45" s="6">
        <f t="shared" si="21"/>
        <v>52599.9970068</v>
      </c>
      <c r="L45" s="6">
        <f t="shared" si="21"/>
        <v>58799.99926422</v>
      </c>
      <c r="M45" s="6">
        <f t="shared" si="21"/>
        <v>0</v>
      </c>
      <c r="N45" s="6">
        <f t="shared" si="21"/>
        <v>3991439.6187046804</v>
      </c>
      <c r="O45" s="6">
        <f t="shared" si="21"/>
        <v>0</v>
      </c>
      <c r="P45" s="6">
        <f t="shared" si="21"/>
        <v>366417.9998792879</v>
      </c>
      <c r="Q45" s="6">
        <f t="shared" si="21"/>
        <v>2803526.75923302</v>
      </c>
      <c r="R45" s="6">
        <f t="shared" si="21"/>
        <v>0</v>
      </c>
      <c r="S45" s="6">
        <f t="shared" si="21"/>
        <v>419849.99994482397</v>
      </c>
      <c r="T45" s="6">
        <f t="shared" si="21"/>
        <v>0</v>
      </c>
      <c r="U45" s="6">
        <f>SUM(I45:S45)</f>
        <v>16843771.674022913</v>
      </c>
      <c r="V45" s="82">
        <f aca="true" t="shared" si="22" ref="V45:V64">U45/C45</f>
        <v>68.4555897243</v>
      </c>
      <c r="W45" s="81">
        <f t="shared" si="6"/>
        <v>120.247650532</v>
      </c>
      <c r="X45" s="58">
        <f>W45/W50</f>
        <v>1</v>
      </c>
      <c r="Y45" s="27">
        <f>G45+U45+0.01</f>
        <v>29587415.41400073</v>
      </c>
      <c r="Z45" s="27">
        <f aca="true" t="shared" si="23" ref="Z45:Z63">U45+G45</f>
        <v>29587415.40400073</v>
      </c>
      <c r="AA45" s="27">
        <f>AA46+AA47+AA48+AA49+292925+0.01</f>
        <v>29880340.414000727</v>
      </c>
      <c r="AC45" s="55"/>
      <c r="AE45" s="27"/>
    </row>
    <row r="46" spans="1:31" s="14" customFormat="1" ht="42" customHeight="1" hidden="1">
      <c r="A46" s="30" t="s">
        <v>60</v>
      </c>
      <c r="B46" s="8" t="s">
        <v>32</v>
      </c>
      <c r="C46" s="31">
        <v>64998</v>
      </c>
      <c r="D46" s="35">
        <f>C46*39.7788485454</f>
        <v>2585545.5977539094</v>
      </c>
      <c r="E46" s="35">
        <f>C46*12.0132122623</f>
        <v>780834.7706249753</v>
      </c>
      <c r="F46" s="5">
        <v>0</v>
      </c>
      <c r="G46" s="6">
        <f>SUM(D46:F46)</f>
        <v>3366380.3683788846</v>
      </c>
      <c r="H46" s="82">
        <f t="shared" si="20"/>
        <v>51.7920608077</v>
      </c>
      <c r="I46" s="35">
        <f>C46*28.5649649263</f>
        <v>1856665.5902796474</v>
      </c>
      <c r="J46" s="35">
        <f>C46*8.62661619</f>
        <v>560712.79911762</v>
      </c>
      <c r="K46" s="5">
        <f>C46*0.2137742</f>
        <v>13894.8954516</v>
      </c>
      <c r="L46" s="5">
        <f>C46*0.23897193</f>
        <v>15532.69750614</v>
      </c>
      <c r="M46" s="5">
        <v>0</v>
      </c>
      <c r="N46" s="5">
        <f>C46*16.22180342</f>
        <v>1054384.77869316</v>
      </c>
      <c r="O46" s="5">
        <v>0</v>
      </c>
      <c r="P46" s="5">
        <f>C46*1.489177172</f>
        <v>96793.53782565599</v>
      </c>
      <c r="Q46" s="5">
        <f>C46*11.39394913</f>
        <v>740583.90555174</v>
      </c>
      <c r="R46" s="5">
        <v>0</v>
      </c>
      <c r="S46" s="5">
        <f>C46*1.706332756</f>
        <v>110908.216474488</v>
      </c>
      <c r="T46" s="5">
        <v>0</v>
      </c>
      <c r="U46" s="6">
        <f>SUM(I46:S46)</f>
        <v>4449476.420900052</v>
      </c>
      <c r="V46" s="82">
        <f t="shared" si="22"/>
        <v>68.45558972430001</v>
      </c>
      <c r="W46" s="82">
        <f t="shared" si="6"/>
        <v>120.24765053200001</v>
      </c>
      <c r="X46" s="58">
        <f>W46/W50</f>
        <v>1.0000000000000002</v>
      </c>
      <c r="Y46" s="27">
        <f aca="true" t="shared" si="24" ref="Y46:Y64">G46+U46</f>
        <v>7815856.7892789375</v>
      </c>
      <c r="Z46" s="27">
        <f t="shared" si="23"/>
        <v>7815856.7892789375</v>
      </c>
      <c r="AA46" s="14">
        <f>W46*C46</f>
        <v>7815856.789278937</v>
      </c>
      <c r="AC46" s="34"/>
      <c r="AE46" s="36"/>
    </row>
    <row r="47" spans="1:31" s="14" customFormat="1" ht="39" customHeight="1" hidden="1">
      <c r="A47" s="30" t="s">
        <v>61</v>
      </c>
      <c r="B47" s="8" t="s">
        <v>32</v>
      </c>
      <c r="C47" s="31">
        <v>52992</v>
      </c>
      <c r="D47" s="35">
        <f>C47*39.7788485454</f>
        <v>2107960.742117837</v>
      </c>
      <c r="E47" s="35">
        <f>C47*12.0132122623</f>
        <v>636604.1442038016</v>
      </c>
      <c r="F47" s="5">
        <v>0</v>
      </c>
      <c r="G47" s="6">
        <f>SUM(D47:F47)</f>
        <v>2744564.8863216387</v>
      </c>
      <c r="H47" s="82">
        <f t="shared" si="20"/>
        <v>51.792060807700004</v>
      </c>
      <c r="I47" s="35">
        <f>C47*28.5649649263</f>
        <v>1513714.6213744895</v>
      </c>
      <c r="J47" s="35">
        <f>C47*8.62661619</f>
        <v>457141.64514048</v>
      </c>
      <c r="K47" s="5">
        <f>C47*0.2137742</f>
        <v>11328.3224064</v>
      </c>
      <c r="L47" s="5">
        <f>C47*0.23897193</f>
        <v>12663.60051456</v>
      </c>
      <c r="M47" s="5">
        <v>0</v>
      </c>
      <c r="N47" s="5">
        <f>C47*16.22180342</f>
        <v>859625.8068326401</v>
      </c>
      <c r="O47" s="5">
        <v>0</v>
      </c>
      <c r="P47" s="5">
        <f>C47*1.489177172</f>
        <v>78914.476698624</v>
      </c>
      <c r="Q47" s="5">
        <f>C47*11.39394913</f>
        <v>603788.15229696</v>
      </c>
      <c r="R47" s="5">
        <v>0</v>
      </c>
      <c r="S47" s="5">
        <f>C47*1.706332756</f>
        <v>90421.985405952</v>
      </c>
      <c r="T47" s="5">
        <v>0</v>
      </c>
      <c r="U47" s="6">
        <f>SUM(I47:S47)</f>
        <v>3627598.6106701056</v>
      </c>
      <c r="V47" s="82">
        <f t="shared" si="22"/>
        <v>68.4555897243</v>
      </c>
      <c r="W47" s="82">
        <f t="shared" si="6"/>
        <v>120.247650532</v>
      </c>
      <c r="X47" s="58">
        <f>W47/W50</f>
        <v>1</v>
      </c>
      <c r="Y47" s="27">
        <f t="shared" si="24"/>
        <v>6372163.496991744</v>
      </c>
      <c r="Z47" s="27">
        <f t="shared" si="23"/>
        <v>6372163.496991744</v>
      </c>
      <c r="AA47" s="14">
        <f>W47*C47</f>
        <v>6372163.496991743</v>
      </c>
      <c r="AC47" s="34"/>
      <c r="AE47" s="36"/>
    </row>
    <row r="48" spans="1:31" s="14" customFormat="1" ht="44.25" customHeight="1" hidden="1">
      <c r="A48" s="30" t="s">
        <v>63</v>
      </c>
      <c r="B48" s="8" t="s">
        <v>32</v>
      </c>
      <c r="C48" s="31">
        <v>62928</v>
      </c>
      <c r="D48" s="35">
        <f>C48*39.7788485454</f>
        <v>2503203.3812649315</v>
      </c>
      <c r="E48" s="35">
        <f>C48*12.0132122623</f>
        <v>755967.4212420144</v>
      </c>
      <c r="F48" s="5">
        <v>0</v>
      </c>
      <c r="G48" s="6">
        <f>SUM(D48:F48)</f>
        <v>3259170.802506946</v>
      </c>
      <c r="H48" s="82">
        <f t="shared" si="20"/>
        <v>51.792060807700004</v>
      </c>
      <c r="I48" s="35">
        <f>C48*28.5649649263</f>
        <v>1797536.1128822064</v>
      </c>
      <c r="J48" s="35">
        <f>C48*8.62661619</f>
        <v>542855.70360432</v>
      </c>
      <c r="K48" s="5">
        <f>C48*0.2137742</f>
        <v>13452.3828576</v>
      </c>
      <c r="L48" s="5">
        <f>C48*0.23897193</f>
        <v>15038.02561104</v>
      </c>
      <c r="M48" s="5">
        <v>0</v>
      </c>
      <c r="N48" s="5">
        <f>C48*16.22180342</f>
        <v>1020805.64561376</v>
      </c>
      <c r="O48" s="5">
        <v>0</v>
      </c>
      <c r="P48" s="5">
        <f>C48*1.489177172</f>
        <v>93710.941079616</v>
      </c>
      <c r="Q48" s="5">
        <f>C48*11.39394913</f>
        <v>716998.43085264</v>
      </c>
      <c r="R48" s="5">
        <v>0</v>
      </c>
      <c r="S48" s="5">
        <f>C48*1.706332756</f>
        <v>107376.107669568</v>
      </c>
      <c r="T48" s="5">
        <v>0</v>
      </c>
      <c r="U48" s="6">
        <f>SUM(I48:S48)</f>
        <v>4307773.35017075</v>
      </c>
      <c r="V48" s="82">
        <f t="shared" si="22"/>
        <v>68.4555897243</v>
      </c>
      <c r="W48" s="82">
        <f t="shared" si="6"/>
        <v>120.247650532</v>
      </c>
      <c r="X48" s="58">
        <f>W48/W50</f>
        <v>1</v>
      </c>
      <c r="Y48" s="27">
        <f t="shared" si="24"/>
        <v>7566944.152677696</v>
      </c>
      <c r="Z48" s="27">
        <f t="shared" si="23"/>
        <v>7566944.152677696</v>
      </c>
      <c r="AA48" s="14">
        <f>W48*C48</f>
        <v>7566944.152677695</v>
      </c>
      <c r="AC48" s="34"/>
      <c r="AE48" s="36"/>
    </row>
    <row r="49" spans="1:31" s="14" customFormat="1" ht="41.25" customHeight="1" hidden="1">
      <c r="A49" s="30" t="s">
        <v>62</v>
      </c>
      <c r="B49" s="8" t="s">
        <v>32</v>
      </c>
      <c r="C49" s="31">
        <v>65136</v>
      </c>
      <c r="D49" s="35">
        <f>C49*39.7788485454</f>
        <v>2591035.0788531746</v>
      </c>
      <c r="E49" s="35">
        <f>C49*12.0132122623</f>
        <v>782492.5939171728</v>
      </c>
      <c r="F49" s="5">
        <v>0</v>
      </c>
      <c r="G49" s="6">
        <f>SUM(D49:F49)</f>
        <v>3373527.6727703474</v>
      </c>
      <c r="H49" s="82">
        <f t="shared" si="20"/>
        <v>51.792060807700004</v>
      </c>
      <c r="I49" s="35">
        <f>C49*28.5649649263</f>
        <v>1860607.5554394769</v>
      </c>
      <c r="J49" s="35">
        <f>C49*8.62661619</f>
        <v>561903.27215184</v>
      </c>
      <c r="K49" s="5">
        <f>C49*0.2137742</f>
        <v>13924.3962912</v>
      </c>
      <c r="L49" s="5">
        <f>C49*0.23897193</f>
        <v>15565.67563248</v>
      </c>
      <c r="M49" s="5">
        <v>0</v>
      </c>
      <c r="N49" s="5">
        <f>C49*16.22180342</f>
        <v>1056623.3875651201</v>
      </c>
      <c r="O49" s="5">
        <v>0</v>
      </c>
      <c r="P49" s="5">
        <f>C49*1.489177172</f>
        <v>96999.04427539199</v>
      </c>
      <c r="Q49" s="5">
        <f>C49*11.39394913</f>
        <v>742156.27053168</v>
      </c>
      <c r="R49" s="5">
        <v>0</v>
      </c>
      <c r="S49" s="5">
        <f>C49*1.706332756</f>
        <v>111143.69039481599</v>
      </c>
      <c r="T49" s="5">
        <v>0</v>
      </c>
      <c r="U49" s="6">
        <f>SUM(I49:S49)</f>
        <v>4458923.292282005</v>
      </c>
      <c r="V49" s="82">
        <f t="shared" si="22"/>
        <v>68.4555897243</v>
      </c>
      <c r="W49" s="82">
        <f>H49+V49</f>
        <v>120.247650532</v>
      </c>
      <c r="X49" s="58">
        <f>W49/W50</f>
        <v>1</v>
      </c>
      <c r="Y49" s="27">
        <f t="shared" si="24"/>
        <v>7832450.965052352</v>
      </c>
      <c r="Z49" s="27">
        <f t="shared" si="23"/>
        <v>7832450.965052352</v>
      </c>
      <c r="AA49" s="14">
        <f>W49*C49</f>
        <v>7832450.965052351</v>
      </c>
      <c r="AE49" s="23"/>
    </row>
    <row r="50" spans="1:31" s="26" customFormat="1" ht="41.25" customHeight="1" hidden="1">
      <c r="A50" s="69" t="s">
        <v>68</v>
      </c>
      <c r="B50" s="12" t="s">
        <v>32</v>
      </c>
      <c r="C50" s="7">
        <f>C45</f>
        <v>246054</v>
      </c>
      <c r="D50" s="7">
        <f>D45</f>
        <v>9787744.799989853</v>
      </c>
      <c r="E50" s="7">
        <f>E45</f>
        <v>2955898.929987964</v>
      </c>
      <c r="F50" s="7">
        <f>F45</f>
        <v>0</v>
      </c>
      <c r="G50" s="7">
        <f>G45</f>
        <v>12743643.729977816</v>
      </c>
      <c r="H50" s="82">
        <f t="shared" si="20"/>
        <v>51.792060807700004</v>
      </c>
      <c r="I50" s="6">
        <f>I45</f>
        <v>7028523.87997582</v>
      </c>
      <c r="J50" s="6">
        <f aca="true" t="shared" si="25" ref="J50:T50">J45</f>
        <v>2122613.42001426</v>
      </c>
      <c r="K50" s="6">
        <f t="shared" si="25"/>
        <v>52599.9970068</v>
      </c>
      <c r="L50" s="6">
        <f t="shared" si="25"/>
        <v>58799.99926422</v>
      </c>
      <c r="M50" s="6">
        <f t="shared" si="25"/>
        <v>0</v>
      </c>
      <c r="N50" s="6">
        <f t="shared" si="25"/>
        <v>3991439.6187046804</v>
      </c>
      <c r="O50" s="6">
        <f t="shared" si="25"/>
        <v>0</v>
      </c>
      <c r="P50" s="6">
        <f t="shared" si="25"/>
        <v>366417.9998792879</v>
      </c>
      <c r="Q50" s="6">
        <f t="shared" si="25"/>
        <v>2803526.75923302</v>
      </c>
      <c r="R50" s="6">
        <f t="shared" si="25"/>
        <v>0</v>
      </c>
      <c r="S50" s="6">
        <f t="shared" si="25"/>
        <v>419849.99994482397</v>
      </c>
      <c r="T50" s="6">
        <f t="shared" si="25"/>
        <v>0</v>
      </c>
      <c r="U50" s="6">
        <f>U45</f>
        <v>16843771.674022913</v>
      </c>
      <c r="V50" s="82">
        <f t="shared" si="22"/>
        <v>68.4555897243</v>
      </c>
      <c r="W50" s="82">
        <f>H50+V50</f>
        <v>120.247650532</v>
      </c>
      <c r="X50" s="64"/>
      <c r="Y50" s="27">
        <f t="shared" si="24"/>
        <v>29587415.40400073</v>
      </c>
      <c r="Z50" s="27">
        <f t="shared" si="23"/>
        <v>29587415.40400073</v>
      </c>
      <c r="AE50" s="27"/>
    </row>
    <row r="51" spans="1:32" s="52" customFormat="1" ht="27" customHeight="1" hidden="1">
      <c r="A51" s="56" t="s">
        <v>22</v>
      </c>
      <c r="B51" s="57" t="s">
        <v>32</v>
      </c>
      <c r="C51" s="7">
        <f>C52+C53</f>
        <v>163876</v>
      </c>
      <c r="D51" s="95">
        <f>D52+D53</f>
        <v>7181392.2</v>
      </c>
      <c r="E51" s="95">
        <f>E52+E53</f>
        <v>2168780.45</v>
      </c>
      <c r="F51" s="95">
        <f>F52+F53</f>
        <v>0</v>
      </c>
      <c r="G51" s="6">
        <f aca="true" t="shared" si="26" ref="G51:G63">SUM(D51:F51)</f>
        <v>9350172.65</v>
      </c>
      <c r="H51" s="82">
        <f t="shared" si="20"/>
        <v>57.05638806170519</v>
      </c>
      <c r="I51" s="6">
        <f>I52+I53</f>
        <v>11240667.41</v>
      </c>
      <c r="J51" s="6">
        <f aca="true" t="shared" si="27" ref="J51:T51">J52+J53</f>
        <v>3394681.5</v>
      </c>
      <c r="K51" s="6">
        <f t="shared" si="27"/>
        <v>14300</v>
      </c>
      <c r="L51" s="6">
        <f t="shared" si="27"/>
        <v>37150</v>
      </c>
      <c r="M51" s="6">
        <f t="shared" si="27"/>
        <v>0</v>
      </c>
      <c r="N51" s="6">
        <f t="shared" si="27"/>
        <v>922009.5900000001</v>
      </c>
      <c r="O51" s="6">
        <f t="shared" si="27"/>
        <v>0</v>
      </c>
      <c r="P51" s="6">
        <f t="shared" si="27"/>
        <v>503805</v>
      </c>
      <c r="Q51" s="6">
        <f t="shared" si="27"/>
        <v>1492624.88</v>
      </c>
      <c r="R51" s="6">
        <f t="shared" si="27"/>
        <v>0</v>
      </c>
      <c r="S51" s="6">
        <f t="shared" si="27"/>
        <v>241840</v>
      </c>
      <c r="T51" s="6">
        <f t="shared" si="27"/>
        <v>0</v>
      </c>
      <c r="U51" s="6">
        <f>SUM(I51:T51)</f>
        <v>17847078.38</v>
      </c>
      <c r="V51" s="82">
        <f t="shared" si="22"/>
        <v>108.90599221362493</v>
      </c>
      <c r="W51" s="81">
        <f t="shared" si="6"/>
        <v>165.96238027533013</v>
      </c>
      <c r="X51" s="58">
        <f>W51/W64</f>
        <v>0.9895404007163858</v>
      </c>
      <c r="Y51" s="59">
        <f t="shared" si="24"/>
        <v>27197251.03</v>
      </c>
      <c r="Z51" s="59">
        <f t="shared" si="23"/>
        <v>27197251.03</v>
      </c>
      <c r="AA51" s="52">
        <f>AA52+AA53+117297</f>
        <v>27314548.03</v>
      </c>
      <c r="AB51" s="113"/>
      <c r="AC51" s="113"/>
      <c r="AD51" s="113"/>
      <c r="AE51" s="113"/>
      <c r="AF51" s="26"/>
    </row>
    <row r="52" spans="1:32" s="50" customFormat="1" ht="36.75" customHeight="1" hidden="1">
      <c r="A52" s="30" t="s">
        <v>47</v>
      </c>
      <c r="B52" s="8" t="s">
        <v>32</v>
      </c>
      <c r="C52" s="31">
        <v>18324</v>
      </c>
      <c r="D52" s="35">
        <v>802996.34</v>
      </c>
      <c r="E52" s="35">
        <v>242504.89</v>
      </c>
      <c r="F52" s="5">
        <v>0</v>
      </c>
      <c r="G52" s="6">
        <f t="shared" si="26"/>
        <v>1045501.23</v>
      </c>
      <c r="H52" s="99">
        <f t="shared" si="20"/>
        <v>57.0563867059594</v>
      </c>
      <c r="I52" s="35">
        <v>1256888.97</v>
      </c>
      <c r="J52" s="35">
        <v>379580.56</v>
      </c>
      <c r="K52" s="5">
        <v>1594</v>
      </c>
      <c r="L52" s="5">
        <v>4141</v>
      </c>
      <c r="M52" s="5">
        <v>0</v>
      </c>
      <c r="N52" s="5">
        <v>103090.82</v>
      </c>
      <c r="O52" s="5">
        <v>0</v>
      </c>
      <c r="P52" s="5">
        <v>56328</v>
      </c>
      <c r="Q52" s="5">
        <v>166895</v>
      </c>
      <c r="R52" s="5">
        <v>0</v>
      </c>
      <c r="S52" s="5">
        <v>27040</v>
      </c>
      <c r="T52" s="5"/>
      <c r="U52" s="6">
        <f>SUM(I52:T52)</f>
        <v>1995558.35</v>
      </c>
      <c r="V52" s="99">
        <f t="shared" si="22"/>
        <v>108.90407934948702</v>
      </c>
      <c r="W52" s="82">
        <f>H52+V52</f>
        <v>165.96046605544643</v>
      </c>
      <c r="X52" s="29">
        <f>W52/W64</f>
        <v>0.989528987299034</v>
      </c>
      <c r="Y52" s="49">
        <f t="shared" si="24"/>
        <v>3041059.58</v>
      </c>
      <c r="Z52" s="49">
        <f>U52+G52</f>
        <v>3041059.58</v>
      </c>
      <c r="AA52" s="50">
        <f>W52*C52</f>
        <v>3041059.5800000005</v>
      </c>
      <c r="AB52" s="113"/>
      <c r="AC52" s="113"/>
      <c r="AD52" s="113"/>
      <c r="AE52" s="113"/>
      <c r="AF52" s="14"/>
    </row>
    <row r="53" spans="1:32" s="50" customFormat="1" ht="45" customHeight="1" hidden="1">
      <c r="A53" s="30" t="s">
        <v>48</v>
      </c>
      <c r="B53" s="8" t="s">
        <v>32</v>
      </c>
      <c r="C53" s="31">
        <v>145552</v>
      </c>
      <c r="D53" s="35">
        <v>6378395.86</v>
      </c>
      <c r="E53" s="35">
        <v>1926275.56</v>
      </c>
      <c r="F53" s="5">
        <v>0</v>
      </c>
      <c r="G53" s="6">
        <f t="shared" si="26"/>
        <v>8304671.42</v>
      </c>
      <c r="H53" s="99">
        <f t="shared" si="20"/>
        <v>57.0563882323843</v>
      </c>
      <c r="I53" s="35">
        <v>9983778.44</v>
      </c>
      <c r="J53" s="35">
        <v>3015100.94</v>
      </c>
      <c r="K53" s="5">
        <v>12706</v>
      </c>
      <c r="L53" s="5">
        <v>33009</v>
      </c>
      <c r="M53" s="5">
        <v>0</v>
      </c>
      <c r="N53" s="5">
        <v>818918.77</v>
      </c>
      <c r="O53" s="5">
        <v>0</v>
      </c>
      <c r="P53" s="5">
        <v>447477</v>
      </c>
      <c r="Q53" s="5">
        <v>1325729.88</v>
      </c>
      <c r="R53" s="5">
        <v>0</v>
      </c>
      <c r="S53" s="5">
        <v>214800</v>
      </c>
      <c r="T53" s="5"/>
      <c r="U53" s="6">
        <f>SUM(I53:T53)</f>
        <v>15851520.029999997</v>
      </c>
      <c r="V53" s="99">
        <f t="shared" si="22"/>
        <v>108.90623303011981</v>
      </c>
      <c r="W53" s="82">
        <f t="shared" si="6"/>
        <v>165.96262126250411</v>
      </c>
      <c r="X53" s="29">
        <f>W53/W64</f>
        <v>0.9895418375874665</v>
      </c>
      <c r="Y53" s="49">
        <f t="shared" si="24"/>
        <v>24156191.449999996</v>
      </c>
      <c r="Z53" s="49">
        <f t="shared" si="23"/>
        <v>24156191.449999996</v>
      </c>
      <c r="AA53" s="50">
        <f>W53*C53</f>
        <v>24156191.45</v>
      </c>
      <c r="AB53" s="14"/>
      <c r="AC53" s="34"/>
      <c r="AD53" s="14"/>
      <c r="AE53" s="22"/>
      <c r="AF53" s="14"/>
    </row>
    <row r="54" spans="1:31" s="26" customFormat="1" ht="25.5" hidden="1">
      <c r="A54" s="53" t="s">
        <v>23</v>
      </c>
      <c r="B54" s="54" t="s">
        <v>32</v>
      </c>
      <c r="C54" s="7">
        <f>C55+C56+C57+C58</f>
        <v>112608</v>
      </c>
      <c r="D54" s="6">
        <f>D55+D56+D57+D58</f>
        <v>8219657.4</v>
      </c>
      <c r="E54" s="6">
        <f>E55+E56+E57+E58</f>
        <v>2482336.5300000003</v>
      </c>
      <c r="F54" s="6">
        <f>F55+F56+F57+F58</f>
        <v>0</v>
      </c>
      <c r="G54" s="6">
        <f t="shared" si="26"/>
        <v>10701993.93</v>
      </c>
      <c r="H54" s="82">
        <f t="shared" si="20"/>
        <v>95.03759883844842</v>
      </c>
      <c r="I54" s="6">
        <f>I55+I56+I57+I58</f>
        <v>4382523.779999999</v>
      </c>
      <c r="J54" s="6">
        <f aca="true" t="shared" si="28" ref="J54:T54">J55+J56+J57+J58</f>
        <v>1323522.2199999997</v>
      </c>
      <c r="K54" s="6">
        <f t="shared" si="28"/>
        <v>7100</v>
      </c>
      <c r="L54" s="6">
        <f t="shared" si="28"/>
        <v>29500.000000000004</v>
      </c>
      <c r="M54" s="6">
        <f t="shared" si="28"/>
        <v>0</v>
      </c>
      <c r="N54" s="6">
        <f t="shared" si="28"/>
        <v>120998</v>
      </c>
      <c r="O54" s="6">
        <f t="shared" si="28"/>
        <v>50999.99999999999</v>
      </c>
      <c r="P54" s="6">
        <f t="shared" si="28"/>
        <v>168490</v>
      </c>
      <c r="Q54" s="6">
        <f t="shared" si="28"/>
        <v>365035</v>
      </c>
      <c r="R54" s="6">
        <f t="shared" si="28"/>
        <v>0</v>
      </c>
      <c r="S54" s="6">
        <f t="shared" si="28"/>
        <v>84813</v>
      </c>
      <c r="T54" s="6">
        <f t="shared" si="28"/>
        <v>0</v>
      </c>
      <c r="U54" s="6">
        <f>SUM(I54:S54)</f>
        <v>6532981.999999999</v>
      </c>
      <c r="V54" s="82">
        <f t="shared" si="22"/>
        <v>58.015256464904795</v>
      </c>
      <c r="W54" s="83">
        <f t="shared" si="6"/>
        <v>153.05285530335323</v>
      </c>
      <c r="X54" s="60">
        <f>W54/W64</f>
        <v>0.9125681586176919</v>
      </c>
      <c r="Y54" s="27">
        <f t="shared" si="24"/>
        <v>17234975.93</v>
      </c>
      <c r="Z54" s="27">
        <f t="shared" si="23"/>
        <v>17234975.93</v>
      </c>
      <c r="AA54" s="26">
        <f>AA55+AA56+AA57+AA58+1150</f>
        <v>17236125.93</v>
      </c>
      <c r="AC54" s="55"/>
      <c r="AE54" s="27"/>
    </row>
    <row r="55" spans="1:31" s="14" customFormat="1" ht="25.5" hidden="1">
      <c r="A55" s="30" t="s">
        <v>52</v>
      </c>
      <c r="B55" s="8" t="s">
        <v>32</v>
      </c>
      <c r="C55" s="31">
        <v>27972</v>
      </c>
      <c r="D55" s="35">
        <v>2041775.52</v>
      </c>
      <c r="E55" s="35">
        <v>616616.19</v>
      </c>
      <c r="F55" s="5">
        <v>0</v>
      </c>
      <c r="G55" s="6">
        <f t="shared" si="26"/>
        <v>2658391.71</v>
      </c>
      <c r="H55" s="99">
        <f t="shared" si="20"/>
        <v>95.03759867009867</v>
      </c>
      <c r="I55" s="35">
        <v>1088625.63</v>
      </c>
      <c r="J55" s="35">
        <v>328764.95</v>
      </c>
      <c r="K55" s="5">
        <v>1763.65</v>
      </c>
      <c r="L55" s="35">
        <v>7327.85</v>
      </c>
      <c r="M55" s="35">
        <v>0</v>
      </c>
      <c r="N55" s="35">
        <v>30056.09</v>
      </c>
      <c r="O55" s="35">
        <v>12668.48</v>
      </c>
      <c r="P55" s="35">
        <v>41853.18</v>
      </c>
      <c r="Q55" s="35">
        <v>90675.26</v>
      </c>
      <c r="R55" s="35">
        <v>0</v>
      </c>
      <c r="S55" s="35">
        <v>21067.67</v>
      </c>
      <c r="T55" s="35">
        <v>0</v>
      </c>
      <c r="U55" s="6">
        <f>SUM(I55:T55)</f>
        <v>1622802.7599999998</v>
      </c>
      <c r="V55" s="82">
        <f t="shared" si="22"/>
        <v>58.01525668525668</v>
      </c>
      <c r="W55" s="82">
        <f t="shared" si="6"/>
        <v>153.05285535535535</v>
      </c>
      <c r="X55" s="64">
        <f>W55/W64</f>
        <v>0.9125681589277513</v>
      </c>
      <c r="Y55" s="36">
        <f t="shared" si="24"/>
        <v>4281194.47</v>
      </c>
      <c r="Z55" s="36">
        <f t="shared" si="23"/>
        <v>4281194.47</v>
      </c>
      <c r="AA55" s="14">
        <f>C55*W55</f>
        <v>4281194.47</v>
      </c>
      <c r="AC55" s="34"/>
      <c r="AE55" s="36"/>
    </row>
    <row r="56" spans="1:31" s="14" customFormat="1" ht="33.75" customHeight="1" hidden="1">
      <c r="A56" s="30" t="s">
        <v>47</v>
      </c>
      <c r="B56" s="8" t="s">
        <v>32</v>
      </c>
      <c r="C56" s="31">
        <v>73152</v>
      </c>
      <c r="D56" s="35">
        <v>5339623.96</v>
      </c>
      <c r="E56" s="35">
        <v>1612566.43</v>
      </c>
      <c r="F56" s="5">
        <v>0</v>
      </c>
      <c r="G56" s="6">
        <f t="shared" si="26"/>
        <v>6952190.39</v>
      </c>
      <c r="H56" s="99">
        <f t="shared" si="20"/>
        <v>95.03759828849519</v>
      </c>
      <c r="I56" s="35">
        <v>2846959.17</v>
      </c>
      <c r="J56" s="35">
        <v>859781.71</v>
      </c>
      <c r="K56" s="5">
        <v>4612.25</v>
      </c>
      <c r="L56" s="35">
        <v>19163.7</v>
      </c>
      <c r="M56" s="35">
        <v>0</v>
      </c>
      <c r="N56" s="35">
        <v>78602.27</v>
      </c>
      <c r="O56" s="35">
        <v>33130.45</v>
      </c>
      <c r="P56" s="35">
        <v>109453.85</v>
      </c>
      <c r="Q56" s="35">
        <v>237132.72</v>
      </c>
      <c r="R56" s="35">
        <v>0</v>
      </c>
      <c r="S56" s="35">
        <v>55095.9</v>
      </c>
      <c r="T56" s="35">
        <v>0</v>
      </c>
      <c r="U56" s="6">
        <f aca="true" t="shared" si="29" ref="U56:U63">SUM(I56:S56)</f>
        <v>4243932.0200000005</v>
      </c>
      <c r="V56" s="82">
        <f t="shared" si="22"/>
        <v>58.015256178915145</v>
      </c>
      <c r="W56" s="82">
        <f t="shared" si="6"/>
        <v>153.05285446741033</v>
      </c>
      <c r="X56" s="64">
        <f>W56/W64</f>
        <v>0.9125681536334341</v>
      </c>
      <c r="Y56" s="36">
        <f t="shared" si="24"/>
        <v>11196122.41</v>
      </c>
      <c r="Z56" s="36">
        <f t="shared" si="23"/>
        <v>11196122.41</v>
      </c>
      <c r="AA56" s="14">
        <f>C56*W56</f>
        <v>11196122.41</v>
      </c>
      <c r="AC56" s="34"/>
      <c r="AE56" s="36"/>
    </row>
    <row r="57" spans="1:31" s="14" customFormat="1" ht="39.75" customHeight="1" hidden="1">
      <c r="A57" s="30" t="s">
        <v>53</v>
      </c>
      <c r="B57" s="8" t="s">
        <v>32</v>
      </c>
      <c r="C57" s="31">
        <v>864</v>
      </c>
      <c r="D57" s="35">
        <v>63066.43</v>
      </c>
      <c r="E57" s="35">
        <v>19046.08</v>
      </c>
      <c r="F57" s="5">
        <v>0</v>
      </c>
      <c r="G57" s="6">
        <f t="shared" si="26"/>
        <v>82112.51000000001</v>
      </c>
      <c r="H57" s="99">
        <f t="shared" si="20"/>
        <v>95.03762731481483</v>
      </c>
      <c r="I57" s="35">
        <v>33625.51</v>
      </c>
      <c r="J57" s="35">
        <v>10154.9</v>
      </c>
      <c r="K57" s="5">
        <v>54.5</v>
      </c>
      <c r="L57" s="35">
        <v>226.33</v>
      </c>
      <c r="M57" s="35">
        <v>0</v>
      </c>
      <c r="N57" s="35">
        <v>928.38</v>
      </c>
      <c r="O57" s="35">
        <v>391.29</v>
      </c>
      <c r="P57" s="35">
        <v>1292.77</v>
      </c>
      <c r="Q57" s="35">
        <v>2800.77</v>
      </c>
      <c r="R57" s="35">
        <v>0</v>
      </c>
      <c r="S57" s="35">
        <v>650.75</v>
      </c>
      <c r="T57" s="35">
        <v>0</v>
      </c>
      <c r="U57" s="6">
        <f t="shared" si="29"/>
        <v>50125.2</v>
      </c>
      <c r="V57" s="82">
        <f t="shared" si="22"/>
        <v>58.015277777777776</v>
      </c>
      <c r="W57" s="82">
        <f t="shared" si="6"/>
        <v>153.0529050925926</v>
      </c>
      <c r="X57" s="64">
        <f>W57/W64</f>
        <v>0.9125684554829441</v>
      </c>
      <c r="Y57" s="36">
        <f t="shared" si="24"/>
        <v>132237.71000000002</v>
      </c>
      <c r="Z57" s="36">
        <f t="shared" si="23"/>
        <v>132237.71000000002</v>
      </c>
      <c r="AA57" s="14">
        <f>C57*W57</f>
        <v>132237.71</v>
      </c>
      <c r="AC57" s="34"/>
      <c r="AE57" s="36"/>
    </row>
    <row r="58" spans="1:31" s="14" customFormat="1" ht="25.5" hidden="1">
      <c r="A58" s="30" t="s">
        <v>54</v>
      </c>
      <c r="B58" s="8" t="s">
        <v>32</v>
      </c>
      <c r="C58" s="31">
        <v>10620</v>
      </c>
      <c r="D58" s="35">
        <v>775191.49</v>
      </c>
      <c r="E58" s="35">
        <v>234107.83</v>
      </c>
      <c r="F58" s="5">
        <v>0</v>
      </c>
      <c r="G58" s="6">
        <f t="shared" si="26"/>
        <v>1009299.32</v>
      </c>
      <c r="H58" s="99">
        <f t="shared" si="20"/>
        <v>95.03760075329566</v>
      </c>
      <c r="I58" s="35">
        <v>413313.47</v>
      </c>
      <c r="J58" s="35">
        <v>124820.66</v>
      </c>
      <c r="K58" s="5">
        <v>669.6</v>
      </c>
      <c r="L58" s="35">
        <v>2782.12</v>
      </c>
      <c r="M58" s="35">
        <v>0</v>
      </c>
      <c r="N58" s="35">
        <v>11411.26</v>
      </c>
      <c r="O58" s="35">
        <v>4809.78</v>
      </c>
      <c r="P58" s="35">
        <v>15890.2</v>
      </c>
      <c r="Q58" s="35">
        <v>34426.25</v>
      </c>
      <c r="R58" s="35">
        <v>0</v>
      </c>
      <c r="S58" s="35">
        <v>7998.68</v>
      </c>
      <c r="T58" s="35">
        <v>0</v>
      </c>
      <c r="U58" s="6">
        <f t="shared" si="29"/>
        <v>616122.02</v>
      </c>
      <c r="V58" s="82">
        <f t="shared" si="22"/>
        <v>58.01525612052731</v>
      </c>
      <c r="W58" s="82">
        <f>H58+V58</f>
        <v>153.05285687382298</v>
      </c>
      <c r="X58" s="64">
        <f>W58/W64</f>
        <v>0.9125681679815204</v>
      </c>
      <c r="Y58" s="36">
        <f t="shared" si="24"/>
        <v>1625421.3399999999</v>
      </c>
      <c r="Z58" s="36">
        <f t="shared" si="23"/>
        <v>1625421.3399999999</v>
      </c>
      <c r="AA58" s="14">
        <f>C58*W58</f>
        <v>1625421.34</v>
      </c>
      <c r="AC58" s="34"/>
      <c r="AE58" s="36"/>
    </row>
    <row r="59" spans="1:31" s="26" customFormat="1" ht="24.75" customHeight="1" hidden="1">
      <c r="A59" s="61" t="s">
        <v>24</v>
      </c>
      <c r="B59" s="62" t="s">
        <v>32</v>
      </c>
      <c r="C59" s="7">
        <f>C60+C61+C62+C63</f>
        <v>53898</v>
      </c>
      <c r="D59" s="6">
        <f>D60+D61+D62+D63</f>
        <v>4360316.04</v>
      </c>
      <c r="E59" s="6">
        <f>E60+E61+E62+E63</f>
        <v>1316815.4434</v>
      </c>
      <c r="F59" s="6">
        <f>F60+F61+F62+F63</f>
        <v>0</v>
      </c>
      <c r="G59" s="6">
        <f t="shared" si="26"/>
        <v>5677131.4834</v>
      </c>
      <c r="H59" s="82">
        <f t="shared" si="20"/>
        <v>105.33102310660878</v>
      </c>
      <c r="I59" s="6">
        <f>I60+I61+I62+I63</f>
        <v>2805868.1560400003</v>
      </c>
      <c r="J59" s="6">
        <f aca="true" t="shared" si="30" ref="J59:T59">J60+J61+J62+J63</f>
        <v>847371.516976</v>
      </c>
      <c r="K59" s="6">
        <f t="shared" si="30"/>
        <v>5700</v>
      </c>
      <c r="L59" s="6">
        <f t="shared" si="30"/>
        <v>28810.002944</v>
      </c>
      <c r="M59" s="6">
        <f t="shared" si="30"/>
        <v>0</v>
      </c>
      <c r="N59" s="6">
        <f t="shared" si="30"/>
        <v>188470.32313600002</v>
      </c>
      <c r="O59" s="6">
        <f t="shared" si="30"/>
        <v>4200.00165</v>
      </c>
      <c r="P59" s="6">
        <f t="shared" si="30"/>
        <v>162590.000352</v>
      </c>
      <c r="Q59" s="6">
        <f t="shared" si="30"/>
        <v>1178961.8837819998</v>
      </c>
      <c r="R59" s="6">
        <f t="shared" si="30"/>
        <v>0</v>
      </c>
      <c r="S59" s="6">
        <f t="shared" si="30"/>
        <v>79224.99662516447</v>
      </c>
      <c r="T59" s="6">
        <f t="shared" si="30"/>
        <v>0</v>
      </c>
      <c r="U59" s="6">
        <f t="shared" si="29"/>
        <v>5301196.881505165</v>
      </c>
      <c r="V59" s="82">
        <f t="shared" si="22"/>
        <v>98.3560963580312</v>
      </c>
      <c r="W59" s="84">
        <f t="shared" si="6"/>
        <v>203.68711946463998</v>
      </c>
      <c r="X59" s="63">
        <f>W59/W64</f>
        <v>1.2144718187424492</v>
      </c>
      <c r="Y59" s="27">
        <f t="shared" si="24"/>
        <v>10978328.364905166</v>
      </c>
      <c r="Z59" s="27">
        <f t="shared" si="23"/>
        <v>10978328.364905166</v>
      </c>
      <c r="AA59" s="14">
        <f>C59*W59+862.1</f>
        <v>10979190.464905165</v>
      </c>
      <c r="AC59" s="55"/>
      <c r="AE59" s="27"/>
    </row>
    <row r="60" spans="1:31" s="14" customFormat="1" ht="24.75" customHeight="1" hidden="1">
      <c r="A60" s="30" t="s">
        <v>52</v>
      </c>
      <c r="B60" s="8" t="s">
        <v>32</v>
      </c>
      <c r="C60" s="8">
        <v>3828</v>
      </c>
      <c r="D60" s="35">
        <v>309682.92</v>
      </c>
      <c r="E60" s="35">
        <v>93524.23</v>
      </c>
      <c r="F60" s="5">
        <v>0</v>
      </c>
      <c r="G60" s="6">
        <f t="shared" si="26"/>
        <v>403207.14999999997</v>
      </c>
      <c r="H60" s="82">
        <f t="shared" si="20"/>
        <v>105.33102142110762</v>
      </c>
      <c r="I60" s="35">
        <f>C60*52.058855</f>
        <v>199281.29694</v>
      </c>
      <c r="J60" s="35">
        <f>C60*15.721762</f>
        <v>60182.904936</v>
      </c>
      <c r="K60" s="5">
        <v>404.82</v>
      </c>
      <c r="L60" s="5">
        <f>C60*0.534528</f>
        <v>2046.173184</v>
      </c>
      <c r="M60" s="5">
        <v>0</v>
      </c>
      <c r="N60" s="5">
        <f>C60*3.496796</f>
        <v>13385.735088</v>
      </c>
      <c r="O60" s="5">
        <f>C60*0.077925</f>
        <v>298.2969</v>
      </c>
      <c r="P60" s="5">
        <f>C60*3.016624</f>
        <v>11547.636672</v>
      </c>
      <c r="Q60" s="5">
        <f>C60*21.873944</f>
        <v>83733.457632</v>
      </c>
      <c r="R60" s="5">
        <v>0</v>
      </c>
      <c r="S60" s="5">
        <f>C60*1.4699061</f>
        <v>5626.8005508</v>
      </c>
      <c r="T60" s="5">
        <v>0</v>
      </c>
      <c r="U60" s="6">
        <f t="shared" si="29"/>
        <v>376507.1219028</v>
      </c>
      <c r="V60" s="82">
        <f t="shared" si="22"/>
        <v>98.35609245109718</v>
      </c>
      <c r="W60" s="82">
        <f t="shared" si="6"/>
        <v>203.6871138722048</v>
      </c>
      <c r="X60" s="64">
        <f>W60/W64</f>
        <v>1.2144717853979015</v>
      </c>
      <c r="Y60" s="27">
        <f t="shared" si="24"/>
        <v>779714.2719028</v>
      </c>
      <c r="Z60" s="27">
        <f t="shared" si="23"/>
        <v>779714.2719028</v>
      </c>
      <c r="AA60" s="14">
        <f>C60*W60</f>
        <v>779714.2719028</v>
      </c>
      <c r="AC60" s="34"/>
      <c r="AE60" s="36"/>
    </row>
    <row r="61" spans="1:31" s="14" customFormat="1" ht="31.5" customHeight="1" hidden="1">
      <c r="A61" s="30" t="s">
        <v>56</v>
      </c>
      <c r="B61" s="8" t="s">
        <v>32</v>
      </c>
      <c r="C61" s="8">
        <v>3650</v>
      </c>
      <c r="D61" s="35">
        <v>295282.83</v>
      </c>
      <c r="E61" s="35">
        <f>C61*24.43162</f>
        <v>89175.413</v>
      </c>
      <c r="F61" s="5">
        <v>0</v>
      </c>
      <c r="G61" s="6">
        <f t="shared" si="26"/>
        <v>384458.243</v>
      </c>
      <c r="H61" s="82">
        <f t="shared" si="20"/>
        <v>105.33102547945207</v>
      </c>
      <c r="I61" s="35">
        <v>190014.81</v>
      </c>
      <c r="J61" s="35">
        <v>57384.42</v>
      </c>
      <c r="K61" s="5">
        <v>386</v>
      </c>
      <c r="L61" s="5">
        <v>1951.04</v>
      </c>
      <c r="M61" s="5">
        <v>0</v>
      </c>
      <c r="N61" s="5">
        <f>C61*3.496796</f>
        <v>12763.3054</v>
      </c>
      <c r="O61" s="5">
        <f>C61*0.077925</f>
        <v>284.42625</v>
      </c>
      <c r="P61" s="5">
        <f>C61*3.016624</f>
        <v>11010.6776</v>
      </c>
      <c r="Q61" s="5">
        <f>C61*21.873945</f>
        <v>79839.89925</v>
      </c>
      <c r="R61" s="5">
        <v>0</v>
      </c>
      <c r="S61" s="5">
        <f>C61*1.46990611</f>
        <v>5365.157301499999</v>
      </c>
      <c r="T61" s="5">
        <v>0</v>
      </c>
      <c r="U61" s="6">
        <f t="shared" si="29"/>
        <v>358999.7358015</v>
      </c>
      <c r="V61" s="82">
        <f t="shared" si="22"/>
        <v>98.35609200041095</v>
      </c>
      <c r="W61" s="82">
        <f t="shared" si="6"/>
        <v>203.68711747986302</v>
      </c>
      <c r="X61" s="64">
        <f>W61/W64</f>
        <v>1.2144718069083398</v>
      </c>
      <c r="Y61" s="27">
        <f t="shared" si="24"/>
        <v>743457.9788015</v>
      </c>
      <c r="Z61" s="27">
        <f t="shared" si="23"/>
        <v>743457.9788015</v>
      </c>
      <c r="AA61" s="14">
        <f>C61*W61</f>
        <v>743457.9788015</v>
      </c>
      <c r="AC61" s="34"/>
      <c r="AE61" s="36"/>
    </row>
    <row r="62" spans="1:31" s="14" customFormat="1" ht="32.25" customHeight="1" hidden="1">
      <c r="A62" s="30" t="s">
        <v>57</v>
      </c>
      <c r="B62" s="8" t="s">
        <v>32</v>
      </c>
      <c r="C62" s="8">
        <v>18938</v>
      </c>
      <c r="D62" s="35">
        <v>1532072.9</v>
      </c>
      <c r="E62" s="35">
        <f>C62*24.43162</f>
        <v>462686.01956</v>
      </c>
      <c r="F62" s="5">
        <v>0</v>
      </c>
      <c r="G62" s="6">
        <f t="shared" si="26"/>
        <v>1994758.9195599998</v>
      </c>
      <c r="H62" s="82">
        <f t="shared" si="20"/>
        <v>105.33102331608406</v>
      </c>
      <c r="I62" s="35">
        <f>C62*52.058855</f>
        <v>985890.5959900001</v>
      </c>
      <c r="J62" s="35">
        <f>C62*15.721762</f>
        <v>297738.728756</v>
      </c>
      <c r="K62" s="5">
        <v>2002.8</v>
      </c>
      <c r="L62" s="5">
        <f>C62*0.534528</f>
        <v>10122.891264</v>
      </c>
      <c r="M62" s="5">
        <v>0</v>
      </c>
      <c r="N62" s="5">
        <f>C62*3.496796</f>
        <v>66222.322648</v>
      </c>
      <c r="O62" s="5">
        <f>C62*0.077925</f>
        <v>1475.74365</v>
      </c>
      <c r="P62" s="5">
        <f>C62*3.016624</f>
        <v>57128.825312</v>
      </c>
      <c r="Q62" s="5">
        <f>C62*21.873945</f>
        <v>414248.77041</v>
      </c>
      <c r="R62" s="5">
        <v>0</v>
      </c>
      <c r="S62" s="5">
        <f>C62*1.46990611896</f>
        <v>27837.08208086448</v>
      </c>
      <c r="T62" s="5">
        <v>0</v>
      </c>
      <c r="U62" s="6">
        <f t="shared" si="29"/>
        <v>1862667.7601108646</v>
      </c>
      <c r="V62" s="82">
        <f t="shared" si="22"/>
        <v>98.35609674257391</v>
      </c>
      <c r="W62" s="82">
        <f t="shared" si="6"/>
        <v>203.68712005865797</v>
      </c>
      <c r="X62" s="64">
        <f>W62/W64</f>
        <v>1.2144718222842448</v>
      </c>
      <c r="Y62" s="27">
        <f t="shared" si="24"/>
        <v>3857426.6796708647</v>
      </c>
      <c r="Z62" s="27">
        <f t="shared" si="23"/>
        <v>3857426.6796708647</v>
      </c>
      <c r="AA62" s="14">
        <f>C62*W62</f>
        <v>3857426.6796708647</v>
      </c>
      <c r="AC62" s="34"/>
      <c r="AE62" s="36"/>
    </row>
    <row r="63" spans="1:31" s="14" customFormat="1" ht="39" customHeight="1" hidden="1">
      <c r="A63" s="30" t="s">
        <v>58</v>
      </c>
      <c r="B63" s="8" t="s">
        <v>32</v>
      </c>
      <c r="C63" s="8">
        <v>27482</v>
      </c>
      <c r="D63" s="35">
        <v>2223277.39</v>
      </c>
      <c r="E63" s="35">
        <f>C63*24.43162</f>
        <v>671429.78084</v>
      </c>
      <c r="F63" s="5">
        <v>0</v>
      </c>
      <c r="G63" s="6">
        <f t="shared" si="26"/>
        <v>2894707.1708400003</v>
      </c>
      <c r="H63" s="82">
        <f t="shared" si="20"/>
        <v>105.33102288188634</v>
      </c>
      <c r="I63" s="35">
        <f>C63*52.058855</f>
        <v>1430681.4531100001</v>
      </c>
      <c r="J63" s="35">
        <f>C63*15.721762</f>
        <v>432065.463284</v>
      </c>
      <c r="K63" s="5">
        <v>2906.38</v>
      </c>
      <c r="L63" s="5">
        <f>C63*0.534528</f>
        <v>14689.898496</v>
      </c>
      <c r="M63" s="5">
        <v>0</v>
      </c>
      <c r="N63" s="5">
        <v>96098.96</v>
      </c>
      <c r="O63" s="5">
        <f>C63*0.077925</f>
        <v>2141.53485</v>
      </c>
      <c r="P63" s="5">
        <f>C63*3.016624</f>
        <v>82902.860768</v>
      </c>
      <c r="Q63" s="5">
        <f>C63*21.873945</f>
        <v>601139.7564899999</v>
      </c>
      <c r="R63" s="5">
        <v>0</v>
      </c>
      <c r="S63" s="5">
        <f>C63*1.469906</f>
        <v>40395.956692</v>
      </c>
      <c r="T63" s="5">
        <v>0</v>
      </c>
      <c r="U63" s="6">
        <f t="shared" si="29"/>
        <v>2703022.26369</v>
      </c>
      <c r="V63" s="82">
        <f t="shared" si="22"/>
        <v>98.35609721599592</v>
      </c>
      <c r="W63" s="82">
        <f t="shared" si="6"/>
        <v>203.68712009788226</v>
      </c>
      <c r="X63" s="64">
        <f>W63/W64</f>
        <v>1.2144718225181172</v>
      </c>
      <c r="Y63" s="27">
        <f t="shared" si="24"/>
        <v>5597729.43453</v>
      </c>
      <c r="Z63" s="27">
        <f t="shared" si="23"/>
        <v>5597729.43453</v>
      </c>
      <c r="AA63" s="14">
        <f>C63*W63</f>
        <v>5597729.43453</v>
      </c>
      <c r="AC63" s="34"/>
      <c r="AE63" s="36"/>
    </row>
    <row r="64" spans="1:31" s="14" customFormat="1" ht="25.5" hidden="1">
      <c r="A64" s="10" t="s">
        <v>25</v>
      </c>
      <c r="B64" s="12" t="s">
        <v>32</v>
      </c>
      <c r="C64" s="7">
        <f>C51+C54+C59</f>
        <v>330382</v>
      </c>
      <c r="D64" s="7">
        <f>D51+D54+D59</f>
        <v>19761365.64</v>
      </c>
      <c r="E64" s="7">
        <f>E51+E54+E59</f>
        <v>5967932.423400001</v>
      </c>
      <c r="F64" s="7">
        <f>F51+F54+F59</f>
        <v>0</v>
      </c>
      <c r="G64" s="7">
        <f>G51+G54+G59</f>
        <v>25729298.0634</v>
      </c>
      <c r="H64" s="82">
        <f t="shared" si="20"/>
        <v>77.87742087462392</v>
      </c>
      <c r="I64" s="6">
        <f>I51+I54+I59</f>
        <v>18429059.34604</v>
      </c>
      <c r="J64" s="6">
        <f aca="true" t="shared" si="31" ref="J64:T64">J51+J54+J59</f>
        <v>5565575.236976</v>
      </c>
      <c r="K64" s="6">
        <f t="shared" si="31"/>
        <v>27100</v>
      </c>
      <c r="L64" s="6">
        <f t="shared" si="31"/>
        <v>95460.002944</v>
      </c>
      <c r="M64" s="6">
        <f t="shared" si="31"/>
        <v>0</v>
      </c>
      <c r="N64" s="6">
        <f t="shared" si="31"/>
        <v>1231477.913136</v>
      </c>
      <c r="O64" s="6">
        <f t="shared" si="31"/>
        <v>55200.00164999999</v>
      </c>
      <c r="P64" s="6">
        <f t="shared" si="31"/>
        <v>834885.000352</v>
      </c>
      <c r="Q64" s="6">
        <f t="shared" si="31"/>
        <v>3036621.7637819997</v>
      </c>
      <c r="R64" s="6">
        <f t="shared" si="31"/>
        <v>0</v>
      </c>
      <c r="S64" s="6">
        <f t="shared" si="31"/>
        <v>405877.99662516447</v>
      </c>
      <c r="T64" s="6">
        <f t="shared" si="31"/>
        <v>0</v>
      </c>
      <c r="U64" s="6">
        <f>U51+U54+U59</f>
        <v>29681257.261505164</v>
      </c>
      <c r="V64" s="82">
        <f t="shared" si="22"/>
        <v>89.83920813332797</v>
      </c>
      <c r="W64" s="85">
        <f>H64+V64</f>
        <v>167.7166290079519</v>
      </c>
      <c r="X64" s="29"/>
      <c r="Y64" s="23">
        <f t="shared" si="24"/>
        <v>55410555.324905165</v>
      </c>
      <c r="AE64" s="34"/>
    </row>
    <row r="65" spans="1:25" s="14" customFormat="1" ht="12.75" hidden="1">
      <c r="A65" s="11"/>
      <c r="B65" s="11"/>
      <c r="C65" s="96"/>
      <c r="D65" s="5"/>
      <c r="E65" s="5"/>
      <c r="F65" s="5"/>
      <c r="G65" s="7"/>
      <c r="H65" s="8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  <c r="V65" s="99"/>
      <c r="W65" s="6"/>
      <c r="X65" s="29"/>
      <c r="Y65" s="23"/>
    </row>
    <row r="66" spans="1:27" s="26" customFormat="1" ht="25.5" customHeight="1" hidden="1">
      <c r="A66" s="68" t="s">
        <v>26</v>
      </c>
      <c r="B66" s="68" t="s">
        <v>67</v>
      </c>
      <c r="C66" s="98">
        <f>C67+C68</f>
        <v>12</v>
      </c>
      <c r="D66" s="100">
        <f>D67</f>
        <v>0</v>
      </c>
      <c r="E66" s="100">
        <f>E67</f>
        <v>0</v>
      </c>
      <c r="F66" s="100">
        <f>F67</f>
        <v>0</v>
      </c>
      <c r="G66" s="100">
        <f>G67</f>
        <v>0</v>
      </c>
      <c r="H66" s="82">
        <f>G66/C66</f>
        <v>0</v>
      </c>
      <c r="I66" s="6">
        <f>I67+I68</f>
        <v>2883236.5</v>
      </c>
      <c r="J66" s="6">
        <f aca="true" t="shared" si="32" ref="J66:U66">J67+J68</f>
        <v>870737.45</v>
      </c>
      <c r="K66" s="6">
        <f t="shared" si="32"/>
        <v>0</v>
      </c>
      <c r="L66" s="6">
        <f t="shared" si="32"/>
        <v>3900</v>
      </c>
      <c r="M66" s="6">
        <f t="shared" si="32"/>
        <v>0</v>
      </c>
      <c r="N66" s="6">
        <f t="shared" si="32"/>
        <v>143896.81</v>
      </c>
      <c r="O66" s="6">
        <f t="shared" si="32"/>
        <v>14750</v>
      </c>
      <c r="P66" s="6">
        <f t="shared" si="32"/>
        <v>147600</v>
      </c>
      <c r="Q66" s="6">
        <f t="shared" si="32"/>
        <v>58425</v>
      </c>
      <c r="R66" s="6">
        <f t="shared" si="32"/>
        <v>0</v>
      </c>
      <c r="S66" s="6">
        <f t="shared" si="32"/>
        <v>189852.4</v>
      </c>
      <c r="T66" s="6">
        <f t="shared" si="32"/>
        <v>0</v>
      </c>
      <c r="U66" s="6">
        <f t="shared" si="32"/>
        <v>4312398.16</v>
      </c>
      <c r="V66" s="82">
        <f>U66/C66</f>
        <v>359366.51333333337</v>
      </c>
      <c r="W66" s="48">
        <f>H66+V66</f>
        <v>359366.51333333337</v>
      </c>
      <c r="X66" s="58">
        <f>W66/W69</f>
        <v>1</v>
      </c>
      <c r="Y66" s="27">
        <f>G66+U66</f>
        <v>4312398.16</v>
      </c>
      <c r="Z66" s="27">
        <f>U66+G66</f>
        <v>4312398.16</v>
      </c>
      <c r="AA66" s="14">
        <f>C66*W66+198186</f>
        <v>4510584.16</v>
      </c>
    </row>
    <row r="67" spans="1:27" s="14" customFormat="1" ht="25.5" customHeight="1" hidden="1">
      <c r="A67" s="13" t="s">
        <v>69</v>
      </c>
      <c r="B67" s="10" t="s">
        <v>67</v>
      </c>
      <c r="C67" s="96">
        <v>9</v>
      </c>
      <c r="D67" s="67">
        <v>0</v>
      </c>
      <c r="E67" s="67">
        <v>0</v>
      </c>
      <c r="F67" s="67">
        <v>0</v>
      </c>
      <c r="G67" s="67">
        <v>0</v>
      </c>
      <c r="H67" s="82">
        <f>G67/C67</f>
        <v>0</v>
      </c>
      <c r="I67" s="5">
        <v>2883236.5</v>
      </c>
      <c r="J67" s="5">
        <v>870737.45</v>
      </c>
      <c r="K67" s="5">
        <v>0</v>
      </c>
      <c r="L67" s="5">
        <f>325*9</f>
        <v>2925</v>
      </c>
      <c r="M67" s="5">
        <v>0</v>
      </c>
      <c r="N67" s="5">
        <f>11992.15*9</f>
        <v>107929.34999999999</v>
      </c>
      <c r="O67" s="5">
        <v>0</v>
      </c>
      <c r="P67" s="5">
        <v>110700</v>
      </c>
      <c r="Q67" s="5">
        <v>43818.75</v>
      </c>
      <c r="R67" s="5">
        <v>0</v>
      </c>
      <c r="S67" s="5">
        <f>189852.4-S68</f>
        <v>142389.3</v>
      </c>
      <c r="T67" s="5">
        <v>0</v>
      </c>
      <c r="U67" s="35">
        <f>SUM(I67:T67)</f>
        <v>4161736.35</v>
      </c>
      <c r="V67" s="99">
        <f>U67/C67</f>
        <v>462415.15</v>
      </c>
      <c r="W67" s="6">
        <v>1</v>
      </c>
      <c r="X67" s="64">
        <v>1</v>
      </c>
      <c r="Y67" s="27">
        <f>G67+U67</f>
        <v>4161736.35</v>
      </c>
      <c r="Z67" s="27">
        <f>U67+G67</f>
        <v>4161736.35</v>
      </c>
      <c r="AA67" s="14">
        <f>C69*W69</f>
        <v>4312398.16</v>
      </c>
    </row>
    <row r="68" spans="1:26" s="14" customFormat="1" ht="25.5" customHeight="1" hidden="1">
      <c r="A68" s="13" t="s">
        <v>70</v>
      </c>
      <c r="B68" s="10" t="s">
        <v>67</v>
      </c>
      <c r="C68" s="96">
        <v>3</v>
      </c>
      <c r="D68" s="67">
        <v>0</v>
      </c>
      <c r="E68" s="67">
        <v>0</v>
      </c>
      <c r="F68" s="67">
        <v>0</v>
      </c>
      <c r="G68" s="67">
        <v>0</v>
      </c>
      <c r="H68" s="82">
        <f>G68/C68</f>
        <v>0</v>
      </c>
      <c r="I68" s="5">
        <v>0</v>
      </c>
      <c r="J68" s="5">
        <v>0</v>
      </c>
      <c r="K68" s="5">
        <v>0</v>
      </c>
      <c r="L68" s="5">
        <f>325*3</f>
        <v>975</v>
      </c>
      <c r="M68" s="5"/>
      <c r="N68" s="5">
        <v>35967.46</v>
      </c>
      <c r="O68" s="5">
        <v>14750</v>
      </c>
      <c r="P68" s="5">
        <v>36900</v>
      </c>
      <c r="Q68" s="5">
        <v>14606.25</v>
      </c>
      <c r="R68" s="5"/>
      <c r="S68" s="5">
        <v>47463.1</v>
      </c>
      <c r="T68" s="5"/>
      <c r="U68" s="35">
        <f>SUM(I68:T68)</f>
        <v>150661.81</v>
      </c>
      <c r="V68" s="99">
        <f>U68/C68</f>
        <v>50220.60333333333</v>
      </c>
      <c r="W68" s="6">
        <v>1</v>
      </c>
      <c r="X68" s="64"/>
      <c r="Y68" s="27"/>
      <c r="Z68" s="27"/>
    </row>
    <row r="69" spans="1:31" s="26" customFormat="1" ht="24.75" customHeight="1" hidden="1">
      <c r="A69" s="10" t="s">
        <v>65</v>
      </c>
      <c r="B69" s="10" t="s">
        <v>67</v>
      </c>
      <c r="C69" s="98">
        <f>C66</f>
        <v>12</v>
      </c>
      <c r="D69" s="66">
        <f>D66</f>
        <v>0</v>
      </c>
      <c r="E69" s="66">
        <f>E66</f>
        <v>0</v>
      </c>
      <c r="F69" s="66">
        <f>F66</f>
        <v>0</v>
      </c>
      <c r="G69" s="6">
        <f>G66</f>
        <v>0</v>
      </c>
      <c r="H69" s="82">
        <f>G69/C69</f>
        <v>0</v>
      </c>
      <c r="I69" s="6">
        <f>I66</f>
        <v>2883236.5</v>
      </c>
      <c r="J69" s="6">
        <f aca="true" t="shared" si="33" ref="J69:T69">J66</f>
        <v>870737.45</v>
      </c>
      <c r="K69" s="6">
        <f t="shared" si="33"/>
        <v>0</v>
      </c>
      <c r="L69" s="6">
        <f t="shared" si="33"/>
        <v>3900</v>
      </c>
      <c r="M69" s="6">
        <f t="shared" si="33"/>
        <v>0</v>
      </c>
      <c r="N69" s="6">
        <f t="shared" si="33"/>
        <v>143896.81</v>
      </c>
      <c r="O69" s="6">
        <f t="shared" si="33"/>
        <v>14750</v>
      </c>
      <c r="P69" s="6">
        <f t="shared" si="33"/>
        <v>147600</v>
      </c>
      <c r="Q69" s="6">
        <f t="shared" si="33"/>
        <v>58425</v>
      </c>
      <c r="R69" s="6">
        <f t="shared" si="33"/>
        <v>0</v>
      </c>
      <c r="S69" s="6">
        <f t="shared" si="33"/>
        <v>189852.4</v>
      </c>
      <c r="T69" s="6">
        <f t="shared" si="33"/>
        <v>0</v>
      </c>
      <c r="U69" s="6">
        <f>U66</f>
        <v>4312398.16</v>
      </c>
      <c r="V69" s="99">
        <f>U69/C69</f>
        <v>359366.51333333337</v>
      </c>
      <c r="W69" s="6">
        <f>H69+V69</f>
        <v>359366.51333333337</v>
      </c>
      <c r="X69" s="64"/>
      <c r="Y69" s="27">
        <f>G69+U69</f>
        <v>4312398.16</v>
      </c>
      <c r="Z69" s="27">
        <f>U69+G69</f>
        <v>4312398.16</v>
      </c>
      <c r="AA69" s="14">
        <f>C75*W75</f>
        <v>0</v>
      </c>
      <c r="AC69" s="55">
        <v>2997334.02</v>
      </c>
      <c r="AE69" s="65">
        <f>AC69-Z69</f>
        <v>-1315064.1400000001</v>
      </c>
    </row>
    <row r="70" spans="1:31" s="26" customFormat="1" ht="24.75" customHeight="1">
      <c r="A70" s="72"/>
      <c r="B70" s="72"/>
      <c r="C70" s="73"/>
      <c r="D70" s="74"/>
      <c r="E70" s="74"/>
      <c r="F70" s="7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101"/>
      <c r="W70" s="75"/>
      <c r="X70" s="78"/>
      <c r="Y70" s="27"/>
      <c r="Z70" s="27"/>
      <c r="AA70" s="14"/>
      <c r="AC70" s="55"/>
      <c r="AE70" s="65"/>
    </row>
    <row r="71" spans="1:31" s="26" customFormat="1" ht="24.75" customHeight="1">
      <c r="A71" s="72"/>
      <c r="B71" s="72"/>
      <c r="C71" s="73"/>
      <c r="D71" s="74"/>
      <c r="E71" s="74"/>
      <c r="F71" s="74"/>
      <c r="G71" s="79" t="s">
        <v>71</v>
      </c>
      <c r="H71" s="79"/>
      <c r="I71" s="79"/>
      <c r="J71" s="79"/>
      <c r="K71" s="79"/>
      <c r="L71" s="79"/>
      <c r="M71" s="79" t="s">
        <v>72</v>
      </c>
      <c r="N71" s="79"/>
      <c r="T71" s="75"/>
      <c r="U71" s="75"/>
      <c r="V71" s="101"/>
      <c r="W71" s="75"/>
      <c r="X71" s="78"/>
      <c r="Y71" s="27"/>
      <c r="Z71" s="27"/>
      <c r="AA71" s="14"/>
      <c r="AC71" s="55"/>
      <c r="AE71" s="65"/>
    </row>
    <row r="72" spans="1:31" s="26" customFormat="1" ht="24.75" customHeight="1">
      <c r="A72" s="72"/>
      <c r="B72" s="72"/>
      <c r="C72" s="73"/>
      <c r="D72" s="74"/>
      <c r="E72" s="74"/>
      <c r="F72" s="74"/>
      <c r="G72" s="75"/>
      <c r="H72" s="88"/>
      <c r="I72" s="75"/>
      <c r="J72" s="75"/>
      <c r="K72" s="75"/>
      <c r="L72" s="75"/>
      <c r="M72" s="75"/>
      <c r="N72" s="75"/>
      <c r="T72" s="75"/>
      <c r="U72" s="75"/>
      <c r="V72" s="89"/>
      <c r="W72" s="75"/>
      <c r="X72" s="78"/>
      <c r="Y72" s="27"/>
      <c r="Z72" s="27"/>
      <c r="AA72" s="14"/>
      <c r="AC72" s="55"/>
      <c r="AE72" s="65"/>
    </row>
    <row r="73" spans="1:31" s="26" customFormat="1" ht="24.75" customHeight="1">
      <c r="A73" s="129" t="s">
        <v>86</v>
      </c>
      <c r="B73" s="72"/>
      <c r="C73" s="73"/>
      <c r="D73" s="74"/>
      <c r="E73" s="74"/>
      <c r="F73" s="74"/>
      <c r="G73" s="75"/>
      <c r="H73" s="88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89"/>
      <c r="W73" s="75"/>
      <c r="X73" s="78"/>
      <c r="Y73" s="27"/>
      <c r="Z73" s="27"/>
      <c r="AA73" s="14"/>
      <c r="AC73" s="55"/>
      <c r="AE73" s="65"/>
    </row>
    <row r="74" spans="1:31" s="26" customFormat="1" ht="32.25" customHeight="1">
      <c r="A74" s="80"/>
      <c r="B74" s="72"/>
      <c r="C74" s="73"/>
      <c r="D74" s="74"/>
      <c r="E74" s="74"/>
      <c r="F74" s="74"/>
      <c r="G74" s="75"/>
      <c r="H74" s="76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7"/>
      <c r="W74" s="75"/>
      <c r="X74" s="78"/>
      <c r="Y74" s="27"/>
      <c r="Z74" s="27"/>
      <c r="AA74" s="14"/>
      <c r="AC74" s="55"/>
      <c r="AE74" s="65"/>
    </row>
    <row r="77" spans="4:20" ht="12.75">
      <c r="D77" s="4"/>
      <c r="T77" s="15" t="s">
        <v>51</v>
      </c>
    </row>
    <row r="78" spans="4:22" ht="12.75">
      <c r="D78" s="4"/>
      <c r="I78" s="14">
        <v>0</v>
      </c>
      <c r="N78" s="4"/>
      <c r="S78" s="15" t="s">
        <v>50</v>
      </c>
      <c r="T78" s="14">
        <v>21460108</v>
      </c>
      <c r="U78" s="3">
        <f>AA51</f>
        <v>27314548.03</v>
      </c>
      <c r="V78" s="47">
        <f>T78/U78</f>
        <v>0.7856658648142383</v>
      </c>
    </row>
    <row r="80" spans="13:21" ht="12.75">
      <c r="M80">
        <v>12441834</v>
      </c>
      <c r="U80" s="3">
        <f>U78*V78</f>
        <v>21460108</v>
      </c>
    </row>
    <row r="81" spans="19:22" ht="12.75">
      <c r="S81" s="15" t="s">
        <v>55</v>
      </c>
      <c r="T81" s="14">
        <v>16255949</v>
      </c>
      <c r="U81" s="3">
        <v>17236125.93</v>
      </c>
      <c r="V81" s="47">
        <f>T81/U81</f>
        <v>0.9431324107296076</v>
      </c>
    </row>
    <row r="82" ht="12.75">
      <c r="U82" s="3">
        <f>U81*V81</f>
        <v>16255949</v>
      </c>
    </row>
    <row r="84" spans="19:22" ht="12.75">
      <c r="S84" s="15" t="s">
        <v>59</v>
      </c>
      <c r="T84" s="14">
        <v>9696453</v>
      </c>
      <c r="U84" s="3">
        <v>10979190.46</v>
      </c>
      <c r="V84" s="47">
        <f>T84/U84</f>
        <v>0.8831664807461587</v>
      </c>
    </row>
    <row r="85" ht="12.75">
      <c r="U85" s="3">
        <f>U84*V84</f>
        <v>9696453</v>
      </c>
    </row>
    <row r="87" spans="19:22" ht="12.75">
      <c r="S87" s="15" t="s">
        <v>64</v>
      </c>
      <c r="T87" s="14">
        <v>27104870</v>
      </c>
      <c r="U87" s="3">
        <v>29880340.41</v>
      </c>
      <c r="V87" s="47">
        <f>T87/U87</f>
        <v>0.9071138289618971</v>
      </c>
    </row>
    <row r="88" ht="12.75">
      <c r="U88" s="3">
        <f>U87*V87</f>
        <v>27104870</v>
      </c>
    </row>
    <row r="91" spans="19:22" ht="12.75">
      <c r="S91" s="15" t="s">
        <v>66</v>
      </c>
      <c r="T91" s="14">
        <v>4459460</v>
      </c>
      <c r="U91" s="3">
        <v>4510593.16</v>
      </c>
      <c r="V91" s="47">
        <f>T91/U91</f>
        <v>0.9886637614641353</v>
      </c>
    </row>
    <row r="92" ht="12.75">
      <c r="U92" s="3">
        <f>U91*V91</f>
        <v>4459460</v>
      </c>
    </row>
  </sheetData>
  <sheetProtection/>
  <mergeCells count="21">
    <mergeCell ref="A6:A8"/>
    <mergeCell ref="B6:B8"/>
    <mergeCell ref="C6:C8"/>
    <mergeCell ref="D6:H6"/>
    <mergeCell ref="I6:V6"/>
    <mergeCell ref="W6:W8"/>
    <mergeCell ref="AB51:AE52"/>
    <mergeCell ref="X6:X8"/>
    <mergeCell ref="D7:E7"/>
    <mergeCell ref="G7:G8"/>
    <mergeCell ref="H7:H8"/>
    <mergeCell ref="I7:J7"/>
    <mergeCell ref="O7:R7"/>
    <mergeCell ref="U7:U8"/>
    <mergeCell ref="V7:V8"/>
    <mergeCell ref="D3:U3"/>
    <mergeCell ref="B23:B26"/>
    <mergeCell ref="B27:B30"/>
    <mergeCell ref="B31:B34"/>
    <mergeCell ref="B35:B38"/>
    <mergeCell ref="B39:B42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37" r:id="rId1"/>
  <rowBreaks count="1" manualBreakCount="1">
    <brk id="75" max="255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ПЭО1</cp:lastModifiedBy>
  <cp:lastPrinted>2023-03-15T03:09:33Z</cp:lastPrinted>
  <dcterms:created xsi:type="dcterms:W3CDTF">1996-10-08T23:32:33Z</dcterms:created>
  <dcterms:modified xsi:type="dcterms:W3CDTF">2023-03-15T03:10:00Z</dcterms:modified>
  <cp:category/>
  <cp:version/>
  <cp:contentType/>
  <cp:contentStatus/>
</cp:coreProperties>
</file>