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" activeTab="1"/>
  </bookViews>
  <sheets>
    <sheet name="присмотр и уход" sheetId="1" state="hidden" r:id="rId1"/>
    <sheet name="на 2023-2025 год" sheetId="2" r:id="rId2"/>
  </sheets>
  <definedNames>
    <definedName name="_xlnm.Print_Area" localSheetId="1">'на 2023-2025 год'!$A$1:$AD$42</definedName>
  </definedNames>
  <calcPr fullCalcOnLoad="1"/>
</workbook>
</file>

<file path=xl/sharedStrings.xml><?xml version="1.0" encoding="utf-8"?>
<sst xmlns="http://schemas.openxmlformats.org/spreadsheetml/2006/main" count="124" uniqueCount="60">
  <si>
    <t>чел.</t>
  </si>
  <si>
    <t>Учреждение</t>
  </si>
  <si>
    <t>ФОТ педагогов</t>
  </si>
  <si>
    <t>Учебная лит-ра</t>
  </si>
  <si>
    <t>Мат.затраты</t>
  </si>
  <si>
    <t>Питание</t>
  </si>
  <si>
    <t>340 РБ</t>
  </si>
  <si>
    <t>340 МБ</t>
  </si>
  <si>
    <t>Призы</t>
  </si>
  <si>
    <t>Итого</t>
  </si>
  <si>
    <t>Норматив на 1 единицу</t>
  </si>
  <si>
    <t>Итого дошкольные учреждения</t>
  </si>
  <si>
    <t>Базовый норматив затрат, непосредственно связанных с оказанием услуги</t>
  </si>
  <si>
    <t>Базовый норматив затрат на общехозяйственные нужды</t>
  </si>
  <si>
    <t>Ком. услуги</t>
  </si>
  <si>
    <t>ФОТ АУП, УВП, МОП</t>
  </si>
  <si>
    <t>Услуги связи</t>
  </si>
  <si>
    <t>Трансп. услуги</t>
  </si>
  <si>
    <t>Содержание имущества</t>
  </si>
  <si>
    <t>Итого базовый норматив</t>
  </si>
  <si>
    <t>Прочие</t>
  </si>
  <si>
    <t>Корректирующий коэффициент</t>
  </si>
  <si>
    <t>Ед.изм.</t>
  </si>
  <si>
    <t>Количество</t>
  </si>
  <si>
    <t>2018 год</t>
  </si>
  <si>
    <t>Теремок</t>
  </si>
  <si>
    <t>Подснежник</t>
  </si>
  <si>
    <t>Сер.копытце</t>
  </si>
  <si>
    <t>Брусничка</t>
  </si>
  <si>
    <t>Золотой ключик</t>
  </si>
  <si>
    <t>кол-во детей</t>
  </si>
  <si>
    <t>стоимость 1 дня</t>
  </si>
  <si>
    <t>сумма</t>
  </si>
  <si>
    <t>льготное пит. (бюджет)</t>
  </si>
  <si>
    <t>род.плата</t>
  </si>
  <si>
    <t>ИТОГО</t>
  </si>
  <si>
    <t>кол-во дней</t>
  </si>
  <si>
    <t>Присмотр и уход (к нормативным затратам)</t>
  </si>
  <si>
    <t>штэо</t>
  </si>
  <si>
    <t>учвержедно 01.01.22</t>
  </si>
  <si>
    <t>эврика</t>
  </si>
  <si>
    <t>баяр</t>
  </si>
  <si>
    <t>дюсш</t>
  </si>
  <si>
    <t>радуга</t>
  </si>
  <si>
    <t xml:space="preserve">Начальник ПЭО </t>
  </si>
  <si>
    <t>Кейль С.А.</t>
  </si>
  <si>
    <t>Обучающиеся за исключением обучающихся с ограниченными возможностями здоровья (ОВЗ) и детей-инвалидов от 1 года 6 мес. до 3 лет</t>
  </si>
  <si>
    <t>Обучающиеся за исключением обучающихся с ограниченными возможностями здоровья (ОВЗ) и детей-инвалидов от 3 лет до 8 лет</t>
  </si>
  <si>
    <t>Дети- инвалиды от 3 до 8 лет</t>
  </si>
  <si>
    <t>МАДОУ ЦРР- детский сад "Теремок"</t>
  </si>
  <si>
    <t>МАДОУ ясли- сад "Подснежник"</t>
  </si>
  <si>
    <t>МАДОУ детский сад комбинированного вида "Серебряное копытце"</t>
  </si>
  <si>
    <t>МАДОУ "Детский сад "Брусничка"</t>
  </si>
  <si>
    <t>МАДОУ СЦРР- детский сад "Золотой ключик"</t>
  </si>
  <si>
    <t>Исполнитель Н.В. Алексеева</t>
  </si>
  <si>
    <t>вспомогательная итог</t>
  </si>
  <si>
    <t>Проект расчета нормативных затрат на 2023 - 2025 года по ДОУ</t>
  </si>
  <si>
    <t>Дети -инвалиды от 1 года 6 мес.до 3 лет</t>
  </si>
  <si>
    <t>Обучающиеся за исключением обучающихся с ограниченными возможностями здоровья (ОВЗ) и детей-инвалидов  до 3 лет</t>
  </si>
  <si>
    <t>Приложение № 4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</si>
</sst>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"/>
    <numFmt numFmtId="191" formatCode="0.0000"/>
    <numFmt numFmtId="192" formatCode="#,##0.0&quot;р.&quot;"/>
    <numFmt numFmtId="193" formatCode="#,##0.0"/>
    <numFmt numFmtId="194" formatCode="#,##0.00000"/>
    <numFmt numFmtId="195" formatCode="0.0%"/>
    <numFmt numFmtId="196" formatCode="#,##0.0000"/>
    <numFmt numFmtId="197" formatCode="#,##0.000"/>
    <numFmt numFmtId="198" formatCode="#,##0.000000"/>
    <numFmt numFmtId="199" formatCode="#,##0.0000000"/>
  </numFmts>
  <fonts count="4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46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4" fontId="1" fillId="35" borderId="1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/>
    </xf>
    <xf numFmtId="4" fontId="47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/>
    </xf>
    <xf numFmtId="189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3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194" fontId="1" fillId="34" borderId="10" xfId="0" applyNumberFormat="1" applyFont="1" applyFill="1" applyBorder="1" applyAlignment="1">
      <alignment vertical="center"/>
    </xf>
    <xf numFmtId="4" fontId="1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0" fontId="46" fillId="33" borderId="0" xfId="0" applyFont="1" applyFill="1" applyAlignment="1">
      <alignment vertical="center"/>
    </xf>
    <xf numFmtId="4" fontId="0" fillId="33" borderId="0" xfId="0" applyNumberFormat="1" applyFont="1" applyFill="1" applyAlignment="1">
      <alignment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194" fontId="1" fillId="34" borderId="10" xfId="0" applyNumberFormat="1" applyFont="1" applyFill="1" applyBorder="1" applyAlignment="1">
      <alignment horizontal="center" vertical="center"/>
    </xf>
    <xf numFmtId="194" fontId="1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4" fontId="0" fillId="33" borderId="0" xfId="0" applyNumberFormat="1" applyFill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194" fontId="1" fillId="33" borderId="10" xfId="0" applyNumberFormat="1" applyFont="1" applyFill="1" applyBorder="1" applyAlignment="1">
      <alignment vertical="center"/>
    </xf>
    <xf numFmtId="189" fontId="1" fillId="35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center"/>
    </xf>
    <xf numFmtId="3" fontId="1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4" fontId="1" fillId="33" borderId="10" xfId="0" applyNumberFormat="1" applyFont="1" applyFill="1" applyBorder="1" applyAlignment="1">
      <alignment horizontal="center"/>
    </xf>
    <xf numFmtId="4" fontId="4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35" borderId="10" xfId="0" applyNumberFormat="1" applyFont="1" applyFill="1" applyBorder="1" applyAlignment="1">
      <alignment horizontal="right" vertical="center"/>
    </xf>
    <xf numFmtId="3" fontId="0" fillId="33" borderId="10" xfId="0" applyNumberFormat="1" applyFill="1" applyBorder="1" applyAlignment="1">
      <alignment horizontal="center" vertical="center"/>
    </xf>
    <xf numFmtId="189" fontId="1" fillId="33" borderId="10" xfId="0" applyNumberFormat="1" applyFont="1" applyFill="1" applyBorder="1" applyAlignment="1">
      <alignment/>
    </xf>
    <xf numFmtId="189" fontId="1" fillId="33" borderId="10" xfId="0" applyNumberFormat="1" applyFont="1" applyFill="1" applyBorder="1" applyAlignment="1">
      <alignment vertical="center"/>
    </xf>
    <xf numFmtId="189" fontId="1" fillId="33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189" fontId="0" fillId="33" borderId="10" xfId="0" applyNumberForma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16.00390625" style="0" customWidth="1"/>
    <col min="3" max="3" width="10.140625" style="0" customWidth="1"/>
    <col min="4" max="4" width="8.8515625" style="0" customWidth="1"/>
    <col min="5" max="5" width="14.28125" style="0" customWidth="1"/>
    <col min="6" max="6" width="12.140625" style="0" customWidth="1"/>
    <col min="7" max="7" width="14.140625" style="0" customWidth="1"/>
    <col min="8" max="8" width="10.421875" style="0" customWidth="1"/>
  </cols>
  <sheetData>
    <row r="1" spans="1:7" ht="12.75">
      <c r="A1" s="88" t="s">
        <v>37</v>
      </c>
      <c r="B1" s="88"/>
      <c r="C1" s="88"/>
      <c r="D1" s="88"/>
      <c r="E1" s="88"/>
      <c r="F1" s="88"/>
      <c r="G1" s="88"/>
    </row>
    <row r="3" spans="1:7" ht="12.75">
      <c r="A3" s="85" t="s">
        <v>24</v>
      </c>
      <c r="B3" s="86"/>
      <c r="C3" s="86"/>
      <c r="D3" s="86"/>
      <c r="E3" s="86"/>
      <c r="F3" s="86"/>
      <c r="G3" s="86"/>
    </row>
    <row r="4" spans="1:7" ht="38.25">
      <c r="A4" s="22"/>
      <c r="B4" s="23" t="s">
        <v>30</v>
      </c>
      <c r="C4" s="23" t="s">
        <v>31</v>
      </c>
      <c r="D4" s="24" t="s">
        <v>36</v>
      </c>
      <c r="E4" s="23" t="s">
        <v>32</v>
      </c>
      <c r="F4" s="24" t="s">
        <v>33</v>
      </c>
      <c r="G4" s="24" t="s">
        <v>34</v>
      </c>
    </row>
    <row r="5" spans="1:7" ht="12.75">
      <c r="A5" s="22" t="s">
        <v>25</v>
      </c>
      <c r="B5" s="22">
        <v>249</v>
      </c>
      <c r="C5" s="22">
        <v>177</v>
      </c>
      <c r="D5" s="22">
        <v>154</v>
      </c>
      <c r="E5" s="25">
        <f>B5*C5*D5</f>
        <v>6787242</v>
      </c>
      <c r="F5" s="25">
        <v>374797.5</v>
      </c>
      <c r="G5" s="26">
        <f>E5-F5</f>
        <v>6412444.5</v>
      </c>
    </row>
    <row r="6" spans="1:7" ht="12.75">
      <c r="A6" s="22" t="s">
        <v>26</v>
      </c>
      <c r="B6" s="22">
        <v>273</v>
      </c>
      <c r="C6" s="22">
        <v>177</v>
      </c>
      <c r="D6" s="22">
        <v>154</v>
      </c>
      <c r="E6" s="25">
        <f>B6*C6*D6</f>
        <v>7441434</v>
      </c>
      <c r="F6" s="25">
        <v>572418</v>
      </c>
      <c r="G6" s="26">
        <f>E6-F6</f>
        <v>6869016</v>
      </c>
    </row>
    <row r="7" spans="1:7" ht="12.75">
      <c r="A7" s="22" t="s">
        <v>27</v>
      </c>
      <c r="B7" s="22">
        <v>170</v>
      </c>
      <c r="C7" s="22">
        <v>177</v>
      </c>
      <c r="D7" s="22">
        <v>154</v>
      </c>
      <c r="E7" s="25">
        <f>B7*C7*D7</f>
        <v>4633860</v>
      </c>
      <c r="F7" s="25">
        <v>327096</v>
      </c>
      <c r="G7" s="26">
        <f>E7-F7</f>
        <v>4306764</v>
      </c>
    </row>
    <row r="8" spans="1:7" ht="12.75">
      <c r="A8" s="22" t="s">
        <v>28</v>
      </c>
      <c r="B8" s="22">
        <v>195</v>
      </c>
      <c r="C8" s="22">
        <v>177</v>
      </c>
      <c r="D8" s="22">
        <v>154</v>
      </c>
      <c r="E8" s="25">
        <f>B8*C8*D8</f>
        <v>5315310</v>
      </c>
      <c r="F8" s="25">
        <v>265765.5</v>
      </c>
      <c r="G8" s="26">
        <f>E8-F8</f>
        <v>5049544.5</v>
      </c>
    </row>
    <row r="9" spans="1:7" ht="12.75">
      <c r="A9" s="22" t="s">
        <v>29</v>
      </c>
      <c r="B9" s="22">
        <v>329</v>
      </c>
      <c r="C9" s="22">
        <v>177</v>
      </c>
      <c r="D9" s="22">
        <v>154</v>
      </c>
      <c r="E9" s="25">
        <f>B9*C9*D9</f>
        <v>8967882</v>
      </c>
      <c r="F9" s="25">
        <v>388426.5</v>
      </c>
      <c r="G9" s="26">
        <f>E9-F9</f>
        <v>8579455.5</v>
      </c>
    </row>
    <row r="10" spans="1:7" ht="12.75">
      <c r="A10" s="27" t="s">
        <v>35</v>
      </c>
      <c r="B10" s="27">
        <f>SUM(B5:B9)</f>
        <v>1216</v>
      </c>
      <c r="C10" s="27">
        <v>177</v>
      </c>
      <c r="D10" s="27">
        <v>154</v>
      </c>
      <c r="E10" s="28">
        <f>SUM(E5:E9)</f>
        <v>33145728</v>
      </c>
      <c r="F10" s="28">
        <f>SUM(F5:F9)</f>
        <v>1928503.5</v>
      </c>
      <c r="G10" s="28">
        <f>SUM(G5:G9)</f>
        <v>31217224.5</v>
      </c>
    </row>
    <row r="12" spans="1:7" ht="12.75">
      <c r="A12" s="85">
        <v>2019</v>
      </c>
      <c r="B12" s="86"/>
      <c r="C12" s="86"/>
      <c r="D12" s="86"/>
      <c r="E12" s="86"/>
      <c r="F12" s="86"/>
      <c r="G12" s="87"/>
    </row>
    <row r="13" spans="1:7" ht="38.25">
      <c r="A13" s="22"/>
      <c r="B13" s="23" t="s">
        <v>30</v>
      </c>
      <c r="C13" s="23" t="s">
        <v>31</v>
      </c>
      <c r="D13" s="24" t="s">
        <v>36</v>
      </c>
      <c r="E13" s="23" t="s">
        <v>32</v>
      </c>
      <c r="F13" s="24" t="s">
        <v>33</v>
      </c>
      <c r="G13" s="24" t="s">
        <v>34</v>
      </c>
    </row>
    <row r="14" spans="1:7" ht="12.75">
      <c r="A14" s="22" t="s">
        <v>25</v>
      </c>
      <c r="B14" s="22">
        <v>249</v>
      </c>
      <c r="C14" s="22">
        <v>187</v>
      </c>
      <c r="D14" s="22">
        <v>154</v>
      </c>
      <c r="E14" s="25">
        <f>B14*C14*D14</f>
        <v>7170702</v>
      </c>
      <c r="F14" s="25">
        <v>389789.4</v>
      </c>
      <c r="G14" s="26">
        <f>E14-F14</f>
        <v>6780912.6</v>
      </c>
    </row>
    <row r="15" spans="1:7" ht="12.75">
      <c r="A15" s="22" t="s">
        <v>26</v>
      </c>
      <c r="B15" s="22">
        <v>273</v>
      </c>
      <c r="C15" s="22">
        <v>187</v>
      </c>
      <c r="D15" s="22">
        <v>154</v>
      </c>
      <c r="E15" s="25">
        <f>B15*C15*D15</f>
        <v>7861854</v>
      </c>
      <c r="F15" s="25">
        <v>595314.72</v>
      </c>
      <c r="G15" s="26">
        <f>E15-F15</f>
        <v>7266539.28</v>
      </c>
    </row>
    <row r="16" spans="1:7" ht="12.75">
      <c r="A16" s="22" t="s">
        <v>27</v>
      </c>
      <c r="B16" s="22">
        <v>170</v>
      </c>
      <c r="C16" s="22">
        <v>187</v>
      </c>
      <c r="D16" s="22">
        <v>154</v>
      </c>
      <c r="E16" s="25">
        <f>B16*C16*D16</f>
        <v>4895660</v>
      </c>
      <c r="F16" s="25">
        <v>340179.84</v>
      </c>
      <c r="G16" s="26">
        <f>E16-F16</f>
        <v>4555480.16</v>
      </c>
    </row>
    <row r="17" spans="1:7" ht="12.75">
      <c r="A17" s="22" t="s">
        <v>28</v>
      </c>
      <c r="B17" s="22">
        <v>195</v>
      </c>
      <c r="C17" s="22">
        <v>187</v>
      </c>
      <c r="D17" s="22">
        <v>154</v>
      </c>
      <c r="E17" s="25">
        <f>B17*C17*D17</f>
        <v>5615610</v>
      </c>
      <c r="F17" s="25">
        <v>276396.12</v>
      </c>
      <c r="G17" s="26">
        <f>E17-F17</f>
        <v>5339213.88</v>
      </c>
    </row>
    <row r="18" spans="1:7" ht="12.75">
      <c r="A18" s="22" t="s">
        <v>29</v>
      </c>
      <c r="B18" s="22">
        <v>329</v>
      </c>
      <c r="C18" s="22">
        <v>187</v>
      </c>
      <c r="D18" s="22">
        <v>154</v>
      </c>
      <c r="E18" s="25">
        <f>B18*C18*D18</f>
        <v>9474542</v>
      </c>
      <c r="F18" s="25">
        <v>403963.56</v>
      </c>
      <c r="G18" s="26">
        <f>E18-F18</f>
        <v>9070578.44</v>
      </c>
    </row>
    <row r="19" spans="1:7" ht="12.75">
      <c r="A19" s="27" t="s">
        <v>35</v>
      </c>
      <c r="B19" s="27">
        <f>SUM(B14:B18)</f>
        <v>1216</v>
      </c>
      <c r="C19" s="29">
        <v>187</v>
      </c>
      <c r="D19" s="27">
        <v>154</v>
      </c>
      <c r="E19" s="28">
        <f>SUM(E14:E18)</f>
        <v>35018368</v>
      </c>
      <c r="F19" s="28">
        <f>SUM(F14:F18)</f>
        <v>2005643.6400000001</v>
      </c>
      <c r="G19" s="28">
        <f>SUM(G14:G18)</f>
        <v>33012724.36</v>
      </c>
    </row>
    <row r="21" spans="1:7" ht="12.75">
      <c r="A21" s="85">
        <v>2020</v>
      </c>
      <c r="B21" s="86"/>
      <c r="C21" s="86"/>
      <c r="D21" s="86"/>
      <c r="E21" s="86"/>
      <c r="F21" s="86"/>
      <c r="G21" s="87"/>
    </row>
    <row r="22" spans="1:7" ht="38.25">
      <c r="A22" s="22"/>
      <c r="B22" s="23" t="s">
        <v>30</v>
      </c>
      <c r="C22" s="23" t="s">
        <v>31</v>
      </c>
      <c r="D22" s="24" t="s">
        <v>36</v>
      </c>
      <c r="E22" s="23" t="s">
        <v>32</v>
      </c>
      <c r="F22" s="24" t="s">
        <v>33</v>
      </c>
      <c r="G22" s="24" t="s">
        <v>34</v>
      </c>
    </row>
    <row r="23" spans="1:7" ht="12.75">
      <c r="A23" s="22" t="s">
        <v>25</v>
      </c>
      <c r="B23" s="22">
        <v>249</v>
      </c>
      <c r="C23" s="22">
        <v>197</v>
      </c>
      <c r="D23" s="22">
        <v>154</v>
      </c>
      <c r="E23" s="25">
        <f>B23*C23*D23</f>
        <v>7554162</v>
      </c>
      <c r="F23" s="25">
        <v>405380.98</v>
      </c>
      <c r="G23" s="26">
        <f>E23-F23</f>
        <v>7148781.02</v>
      </c>
    </row>
    <row r="24" spans="1:7" ht="12.75">
      <c r="A24" s="22" t="s">
        <v>26</v>
      </c>
      <c r="B24" s="22">
        <v>273</v>
      </c>
      <c r="C24" s="22">
        <v>197</v>
      </c>
      <c r="D24" s="22">
        <v>154</v>
      </c>
      <c r="E24" s="25">
        <f>B24*C24*D24</f>
        <v>8282274</v>
      </c>
      <c r="F24" s="25">
        <v>619127.31</v>
      </c>
      <c r="G24" s="26">
        <f>E24-F24</f>
        <v>7663146.6899999995</v>
      </c>
    </row>
    <row r="25" spans="1:7" ht="12.75">
      <c r="A25" s="22" t="s">
        <v>27</v>
      </c>
      <c r="B25" s="22">
        <v>170</v>
      </c>
      <c r="C25" s="22">
        <v>197</v>
      </c>
      <c r="D25" s="22">
        <v>154</v>
      </c>
      <c r="E25" s="25">
        <f>B25*C25*D25</f>
        <v>5157460</v>
      </c>
      <c r="F25" s="25">
        <v>353787.03</v>
      </c>
      <c r="G25" s="26">
        <f>E25-F25</f>
        <v>4803672.97</v>
      </c>
    </row>
    <row r="26" spans="1:7" ht="12.75">
      <c r="A26" s="22" t="s">
        <v>28</v>
      </c>
      <c r="B26" s="22">
        <v>195</v>
      </c>
      <c r="C26" s="22">
        <v>197</v>
      </c>
      <c r="D26" s="22">
        <v>154</v>
      </c>
      <c r="E26" s="25">
        <f>B26*C26*D26</f>
        <v>5915910</v>
      </c>
      <c r="F26" s="25">
        <v>287451.96</v>
      </c>
      <c r="G26" s="26">
        <f>E26-F26</f>
        <v>5628458.04</v>
      </c>
    </row>
    <row r="27" spans="1:7" ht="12.75">
      <c r="A27" s="22" t="s">
        <v>29</v>
      </c>
      <c r="B27" s="22">
        <v>329</v>
      </c>
      <c r="C27" s="22">
        <v>197</v>
      </c>
      <c r="D27" s="22">
        <v>154</v>
      </c>
      <c r="E27" s="25">
        <f>B27*C27*D27</f>
        <v>9981202</v>
      </c>
      <c r="F27" s="25">
        <v>420122.1</v>
      </c>
      <c r="G27" s="26">
        <f>E27-F27</f>
        <v>9561079.9</v>
      </c>
    </row>
    <row r="28" spans="1:7" ht="12.75">
      <c r="A28" s="27" t="s">
        <v>35</v>
      </c>
      <c r="B28" s="27">
        <f>SUM(B23:B27)</f>
        <v>1216</v>
      </c>
      <c r="C28" s="29">
        <v>197</v>
      </c>
      <c r="D28" s="27">
        <v>154</v>
      </c>
      <c r="E28" s="28">
        <f>SUM(E23:E27)</f>
        <v>36891008</v>
      </c>
      <c r="F28" s="28">
        <f>SUM(F23:F27)</f>
        <v>2085869.38</v>
      </c>
      <c r="G28" s="28">
        <f>SUM(G23:G27)</f>
        <v>34805138.62</v>
      </c>
    </row>
  </sheetData>
  <sheetProtection/>
  <mergeCells count="4">
    <mergeCell ref="A3:G3"/>
    <mergeCell ref="A12:G12"/>
    <mergeCell ref="A21:G21"/>
    <mergeCell ref="A1:G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9"/>
  <sheetViews>
    <sheetView tabSelected="1" view="pageBreakPreview" zoomScale="80" zoomScaleSheetLayoutView="80" zoomScalePageLayoutView="0" workbookViewId="0" topLeftCell="A1">
      <pane xSplit="3" topLeftCell="Q1" activePane="topRight" state="frozen"/>
      <selection pane="topLeft" activeCell="A1" sqref="A1"/>
      <selection pane="topRight" activeCell="R17" sqref="R17"/>
    </sheetView>
  </sheetViews>
  <sheetFormatPr defaultColWidth="9.140625" defaultRowHeight="12.75"/>
  <cols>
    <col min="1" max="1" width="32.421875" style="2" customWidth="1"/>
    <col min="2" max="2" width="11.00390625" style="2" customWidth="1"/>
    <col min="3" max="3" width="13.57421875" style="1" customWidth="1"/>
    <col min="4" max="4" width="14.57421875" style="0" customWidth="1"/>
    <col min="5" max="5" width="14.00390625" style="0" customWidth="1"/>
    <col min="6" max="6" width="14.00390625" style="0" hidden="1" customWidth="1"/>
    <col min="7" max="7" width="15.140625" style="0" hidden="1" customWidth="1"/>
    <col min="8" max="8" width="14.421875" style="10" customWidth="1"/>
    <col min="9" max="9" width="13.8515625" style="10" hidden="1" customWidth="1"/>
    <col min="10" max="10" width="13.7109375" style="10" customWidth="1"/>
    <col min="11" max="11" width="15.140625" style="3" customWidth="1"/>
    <col min="12" max="12" width="13.421875" style="32" customWidth="1"/>
    <col min="13" max="13" width="14.28125" style="10" customWidth="1"/>
    <col min="14" max="14" width="15.28125" style="10" customWidth="1"/>
    <col min="15" max="15" width="11.7109375" style="0" customWidth="1"/>
    <col min="16" max="16" width="13.140625" style="0" customWidth="1"/>
    <col min="17" max="17" width="14.7109375" style="0" customWidth="1"/>
    <col min="18" max="18" width="16.140625" style="0" customWidth="1"/>
    <col min="19" max="19" width="11.57421875" style="0" customWidth="1"/>
    <col min="20" max="21" width="17.00390625" style="0" customWidth="1"/>
    <col min="22" max="22" width="11.8515625" style="0" customWidth="1"/>
    <col min="23" max="23" width="13.28125" style="0" customWidth="1"/>
    <col min="24" max="24" width="12.7109375" style="0" customWidth="1"/>
    <col min="25" max="25" width="15.140625" style="3" customWidth="1"/>
    <col min="26" max="26" width="14.8515625" style="32" customWidth="1"/>
    <col min="27" max="27" width="13.7109375" style="3" customWidth="1"/>
    <col min="28" max="28" width="13.28125" style="0" customWidth="1"/>
    <col min="29" max="29" width="15.28125" style="0" customWidth="1"/>
    <col min="30" max="30" width="18.00390625" style="0" hidden="1" customWidth="1"/>
    <col min="31" max="32" width="15.7109375" style="0" customWidth="1"/>
    <col min="33" max="33" width="13.57421875" style="0" customWidth="1"/>
    <col min="34" max="34" width="15.57421875" style="0" customWidth="1"/>
    <col min="35" max="35" width="15.7109375" style="0" customWidth="1"/>
  </cols>
  <sheetData>
    <row r="1" spans="1:27" s="10" customFormat="1" ht="12.75">
      <c r="A1" s="14"/>
      <c r="B1" s="14"/>
      <c r="C1" s="15"/>
      <c r="K1" s="16"/>
      <c r="Y1" s="16"/>
      <c r="AA1" s="11" t="s">
        <v>59</v>
      </c>
    </row>
    <row r="2" spans="1:27" s="10" customFormat="1" ht="12.75">
      <c r="A2" s="14"/>
      <c r="B2" s="14"/>
      <c r="C2" s="15"/>
      <c r="K2" s="16"/>
      <c r="Y2" s="16"/>
      <c r="AA2" s="11"/>
    </row>
    <row r="3" spans="1:27" s="10" customFormat="1" ht="20.25">
      <c r="A3" s="14"/>
      <c r="B3" s="14"/>
      <c r="C3" s="15"/>
      <c r="K3" s="16"/>
      <c r="O3" s="41"/>
      <c r="P3" s="41" t="s">
        <v>56</v>
      </c>
      <c r="Q3" s="41"/>
      <c r="R3" s="41"/>
      <c r="Y3" s="16"/>
      <c r="AA3" s="11"/>
    </row>
    <row r="4" spans="1:27" s="10" customFormat="1" ht="20.25">
      <c r="A4" s="14"/>
      <c r="B4" s="14"/>
      <c r="C4" s="15"/>
      <c r="D4" s="11"/>
      <c r="K4" s="17"/>
      <c r="O4" s="41"/>
      <c r="P4" s="41"/>
      <c r="Q4" s="41"/>
      <c r="R4" s="41"/>
      <c r="Y4" s="16"/>
      <c r="AA4" s="40"/>
    </row>
    <row r="5" spans="1:27" s="10" customFormat="1" ht="12.75">
      <c r="A5" s="14"/>
      <c r="B5" s="14"/>
      <c r="C5" s="15"/>
      <c r="D5" s="11"/>
      <c r="K5" s="17"/>
      <c r="Y5" s="16"/>
      <c r="AA5" s="11"/>
    </row>
    <row r="6" spans="1:28" s="10" customFormat="1" ht="12.75">
      <c r="A6" s="96" t="s">
        <v>1</v>
      </c>
      <c r="B6" s="97" t="s">
        <v>22</v>
      </c>
      <c r="C6" s="100" t="s">
        <v>23</v>
      </c>
      <c r="D6" s="93" t="s">
        <v>12</v>
      </c>
      <c r="E6" s="93"/>
      <c r="F6" s="93"/>
      <c r="G6" s="93"/>
      <c r="H6" s="93"/>
      <c r="I6" s="93"/>
      <c r="J6" s="93"/>
      <c r="K6" s="93"/>
      <c r="L6" s="93"/>
      <c r="M6" s="93" t="s">
        <v>13</v>
      </c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4" t="s">
        <v>19</v>
      </c>
      <c r="AB6" s="92" t="s">
        <v>21</v>
      </c>
    </row>
    <row r="7" spans="1:28" s="10" customFormat="1" ht="12.75">
      <c r="A7" s="96"/>
      <c r="B7" s="98"/>
      <c r="C7" s="101"/>
      <c r="D7" s="95" t="s">
        <v>2</v>
      </c>
      <c r="E7" s="95"/>
      <c r="F7" s="95" t="s">
        <v>5</v>
      </c>
      <c r="G7" s="95"/>
      <c r="H7" s="75" t="s">
        <v>3</v>
      </c>
      <c r="I7" s="75" t="s">
        <v>8</v>
      </c>
      <c r="J7" s="75" t="s">
        <v>4</v>
      </c>
      <c r="K7" s="102" t="s">
        <v>9</v>
      </c>
      <c r="L7" s="91" t="s">
        <v>10</v>
      </c>
      <c r="M7" s="89" t="s">
        <v>15</v>
      </c>
      <c r="N7" s="89"/>
      <c r="O7" s="76" t="s">
        <v>20</v>
      </c>
      <c r="P7" s="18" t="s">
        <v>16</v>
      </c>
      <c r="Q7" s="18" t="s">
        <v>17</v>
      </c>
      <c r="R7" s="18" t="s">
        <v>14</v>
      </c>
      <c r="S7" s="89" t="s">
        <v>18</v>
      </c>
      <c r="T7" s="89"/>
      <c r="U7" s="89"/>
      <c r="V7" s="89"/>
      <c r="W7" s="18" t="s">
        <v>4</v>
      </c>
      <c r="X7" s="18"/>
      <c r="Y7" s="90" t="s">
        <v>9</v>
      </c>
      <c r="Z7" s="91" t="s">
        <v>10</v>
      </c>
      <c r="AA7" s="94"/>
      <c r="AB7" s="92"/>
    </row>
    <row r="8" spans="1:28" s="10" customFormat="1" ht="12.75">
      <c r="A8" s="96"/>
      <c r="B8" s="99"/>
      <c r="C8" s="101"/>
      <c r="D8" s="75">
        <v>211</v>
      </c>
      <c r="E8" s="75">
        <v>213</v>
      </c>
      <c r="F8" s="75" t="s">
        <v>6</v>
      </c>
      <c r="G8" s="75" t="s">
        <v>7</v>
      </c>
      <c r="H8" s="75">
        <v>310</v>
      </c>
      <c r="I8" s="75">
        <v>290</v>
      </c>
      <c r="J8" s="75">
        <v>340</v>
      </c>
      <c r="K8" s="103"/>
      <c r="L8" s="91"/>
      <c r="M8" s="75">
        <v>211</v>
      </c>
      <c r="N8" s="75">
        <v>213</v>
      </c>
      <c r="O8" s="75">
        <v>212</v>
      </c>
      <c r="P8" s="75">
        <v>221</v>
      </c>
      <c r="Q8" s="75">
        <v>222</v>
      </c>
      <c r="R8" s="75">
        <v>223</v>
      </c>
      <c r="S8" s="75">
        <v>224</v>
      </c>
      <c r="T8" s="75">
        <v>225</v>
      </c>
      <c r="U8" s="75">
        <v>226</v>
      </c>
      <c r="V8" s="75">
        <v>290</v>
      </c>
      <c r="W8" s="75">
        <v>340</v>
      </c>
      <c r="X8" s="75">
        <v>310</v>
      </c>
      <c r="Y8" s="90"/>
      <c r="Z8" s="91"/>
      <c r="AA8" s="94"/>
      <c r="AB8" s="92"/>
    </row>
    <row r="9" spans="1:35" s="16" customFormat="1" ht="24.75" customHeight="1">
      <c r="A9" s="35" t="s">
        <v>49</v>
      </c>
      <c r="B9" s="36" t="s">
        <v>0</v>
      </c>
      <c r="C9" s="37">
        <f>C10+C11+C13+C12</f>
        <v>280</v>
      </c>
      <c r="D9" s="67">
        <v>9383142.96</v>
      </c>
      <c r="E9" s="67">
        <v>2833709.17</v>
      </c>
      <c r="F9" s="67"/>
      <c r="G9" s="67"/>
      <c r="H9" s="67">
        <v>0</v>
      </c>
      <c r="I9" s="67"/>
      <c r="J9" s="67">
        <v>200200</v>
      </c>
      <c r="K9" s="33">
        <f>SUM(D9:J9)</f>
        <v>12417052.13</v>
      </c>
      <c r="L9" s="28">
        <f aca="true" t="shared" si="0" ref="L9:L19">K9/C9</f>
        <v>44346.61475</v>
      </c>
      <c r="M9" s="33">
        <v>13396818.84</v>
      </c>
      <c r="N9" s="33">
        <v>4045839.29</v>
      </c>
      <c r="O9" s="33">
        <v>0</v>
      </c>
      <c r="P9" s="33">
        <v>54604.88</v>
      </c>
      <c r="Q9" s="33">
        <v>0</v>
      </c>
      <c r="R9" s="33">
        <v>4227457.78</v>
      </c>
      <c r="S9" s="33">
        <v>0</v>
      </c>
      <c r="T9" s="33">
        <v>665758.79</v>
      </c>
      <c r="U9" s="33">
        <v>905833.75</v>
      </c>
      <c r="V9" s="33">
        <v>0</v>
      </c>
      <c r="W9" s="33">
        <v>305200</v>
      </c>
      <c r="X9" s="33">
        <v>0</v>
      </c>
      <c r="Y9" s="33">
        <f aca="true" t="shared" si="1" ref="Y9:Y15">SUM(M9:X9)</f>
        <v>23601513.33</v>
      </c>
      <c r="Z9" s="28">
        <f>Y9/C9</f>
        <v>84291.11903571428</v>
      </c>
      <c r="AA9" s="33">
        <f>L9+Z9</f>
        <v>128637.73378571428</v>
      </c>
      <c r="AB9" s="82">
        <f>AA9/AA35</f>
        <v>0.9304879928752926</v>
      </c>
      <c r="AC9" s="17">
        <f>K9+Y9</f>
        <v>36018565.46</v>
      </c>
      <c r="AD9" s="17">
        <f>Y9+K9</f>
        <v>36018565.46</v>
      </c>
      <c r="AE9" s="17">
        <f>AE10+AE11+42918+84600</f>
        <v>35888807.99242857</v>
      </c>
      <c r="AG9" s="34"/>
      <c r="AI9" s="17"/>
    </row>
    <row r="10" spans="1:35" s="54" customFormat="1" ht="75.75" customHeight="1">
      <c r="A10" s="19" t="s">
        <v>46</v>
      </c>
      <c r="B10" s="7" t="s">
        <v>0</v>
      </c>
      <c r="C10" s="49">
        <v>97</v>
      </c>
      <c r="D10" s="64">
        <f>D9/C9*C10</f>
        <v>3250588.811142857</v>
      </c>
      <c r="E10" s="64">
        <f>E9/C9*C10</f>
        <v>981677.8196071429</v>
      </c>
      <c r="F10" s="50"/>
      <c r="G10" s="50"/>
      <c r="H10" s="50">
        <f>H9/C9*C10</f>
        <v>0</v>
      </c>
      <c r="I10" s="50"/>
      <c r="J10" s="50">
        <f>J9/C9*C10</f>
        <v>69355</v>
      </c>
      <c r="K10" s="51">
        <f>D10+E10+H10+J10</f>
        <v>4301621.6307500005</v>
      </c>
      <c r="L10" s="68">
        <f t="shared" si="0"/>
        <v>44346.61475000001</v>
      </c>
      <c r="M10" s="64">
        <f>M9/C9*C10</f>
        <v>4641040.812428571</v>
      </c>
      <c r="N10" s="64">
        <f>N9/C9*C10</f>
        <v>1401594.325464286</v>
      </c>
      <c r="O10" s="50">
        <f>O9/C9*C10</f>
        <v>0</v>
      </c>
      <c r="P10" s="50">
        <f>P9/C9*C10</f>
        <v>18916.69057142857</v>
      </c>
      <c r="Q10" s="50">
        <f>Q9/C9*C10</f>
        <v>0</v>
      </c>
      <c r="R10" s="50">
        <f>R9/C9*C10</f>
        <v>1464512.1595</v>
      </c>
      <c r="S10" s="50">
        <f>S9/C9*C10</f>
        <v>0</v>
      </c>
      <c r="T10" s="50">
        <f>T9/C9*C10</f>
        <v>230637.86653571427</v>
      </c>
      <c r="U10" s="50">
        <f>U9/C9*C10</f>
        <v>313806.69196428574</v>
      </c>
      <c r="V10" s="50">
        <f>V9/C9*C10</f>
        <v>0</v>
      </c>
      <c r="W10" s="50">
        <f>W9/C9*C10</f>
        <v>105730</v>
      </c>
      <c r="X10" s="50">
        <f>X9/C9*C10</f>
        <v>0</v>
      </c>
      <c r="Y10" s="51">
        <f>SUM(M10:X10)+0.02</f>
        <v>8176238.566464284</v>
      </c>
      <c r="Z10" s="68">
        <f>Y10/C10</f>
        <v>84291.11924189984</v>
      </c>
      <c r="AA10" s="51">
        <f>L10+Z10</f>
        <v>128637.73399189985</v>
      </c>
      <c r="AB10" s="83">
        <f>AA10/AA35</f>
        <v>0.9304879943667149</v>
      </c>
      <c r="AC10" s="53">
        <f>K10+Y10</f>
        <v>12477860.197214285</v>
      </c>
      <c r="AD10" s="53">
        <f>Y10+K10</f>
        <v>12477860.197214285</v>
      </c>
      <c r="AE10" s="54">
        <f>AA10*C10</f>
        <v>12477860.197214285</v>
      </c>
      <c r="AG10" s="55"/>
      <c r="AI10" s="56"/>
    </row>
    <row r="11" spans="1:35" s="54" customFormat="1" ht="72" customHeight="1">
      <c r="A11" s="19" t="s">
        <v>47</v>
      </c>
      <c r="B11" s="7" t="s">
        <v>0</v>
      </c>
      <c r="C11" s="49">
        <v>181</v>
      </c>
      <c r="D11" s="64">
        <f>D9/C9*C11</f>
        <v>6065531.699142857</v>
      </c>
      <c r="E11" s="64">
        <f>E9/C9*C11</f>
        <v>1831790.570607143</v>
      </c>
      <c r="F11" s="50"/>
      <c r="G11" s="50"/>
      <c r="H11" s="50">
        <f>H9/C9*C11</f>
        <v>0</v>
      </c>
      <c r="I11" s="50"/>
      <c r="J11" s="50">
        <f>J9/C9*C11</f>
        <v>129415</v>
      </c>
      <c r="K11" s="51">
        <f>D11+E11+H11+J11</f>
        <v>8026737.269750001</v>
      </c>
      <c r="L11" s="68">
        <f t="shared" si="0"/>
        <v>44346.61475000001</v>
      </c>
      <c r="M11" s="64">
        <f>M9/C9*C11</f>
        <v>8660086.46442857</v>
      </c>
      <c r="N11" s="64">
        <f>N9/C9*C11</f>
        <v>2615346.112464286</v>
      </c>
      <c r="O11" s="50">
        <f>O9/C9*C11</f>
        <v>0</v>
      </c>
      <c r="P11" s="50">
        <f>P9/C9*C11</f>
        <v>35298.15457142857</v>
      </c>
      <c r="Q11" s="50">
        <f>Q9/C9*C11</f>
        <v>0</v>
      </c>
      <c r="R11" s="50">
        <f>R9/C9*C11</f>
        <v>2732749.4935</v>
      </c>
      <c r="S11" s="50">
        <f>S9/C9*C11</f>
        <v>0</v>
      </c>
      <c r="T11" s="50">
        <f>T9/C9*C11</f>
        <v>430365.5035357143</v>
      </c>
      <c r="U11" s="50">
        <f>U9/C9*C11</f>
        <v>585556.8169642857</v>
      </c>
      <c r="V11" s="50">
        <f>V9/C9*C11</f>
        <v>0</v>
      </c>
      <c r="W11" s="50">
        <f>W9/C9*C11</f>
        <v>197290</v>
      </c>
      <c r="X11" s="50">
        <f>X9/C9*C11</f>
        <v>0</v>
      </c>
      <c r="Y11" s="51">
        <f>SUM(M11:X11)-0.02</f>
        <v>15256692.525464285</v>
      </c>
      <c r="Z11" s="68">
        <f>Y11/C11</f>
        <v>84291.11892521704</v>
      </c>
      <c r="AA11" s="51">
        <f>L11+Z11</f>
        <v>128637.73367521705</v>
      </c>
      <c r="AB11" s="83">
        <f>AA11/AA35</f>
        <v>0.9304879920760221</v>
      </c>
      <c r="AC11" s="53">
        <f>K11+Y11</f>
        <v>23283429.795214288</v>
      </c>
      <c r="AD11" s="53">
        <f>Y11+K11</f>
        <v>23283429.795214288</v>
      </c>
      <c r="AE11" s="54">
        <f>AA11*C11</f>
        <v>23283429.795214288</v>
      </c>
      <c r="AG11" s="55"/>
      <c r="AI11" s="56"/>
    </row>
    <row r="12" spans="1:35" s="54" customFormat="1" ht="72" customHeight="1">
      <c r="A12" s="19" t="s">
        <v>57</v>
      </c>
      <c r="B12" s="7" t="s">
        <v>0</v>
      </c>
      <c r="C12" s="49">
        <v>1</v>
      </c>
      <c r="D12" s="64">
        <f>D9/C9*C12</f>
        <v>33511.22485714286</v>
      </c>
      <c r="E12" s="64">
        <f>E9/D9*D12</f>
        <v>10120.389892857142</v>
      </c>
      <c r="F12" s="64">
        <f>F9/E9*E12</f>
        <v>0</v>
      </c>
      <c r="G12" s="64" t="e">
        <f>G9/F9*F12</f>
        <v>#DIV/0!</v>
      </c>
      <c r="H12" s="64">
        <v>0</v>
      </c>
      <c r="I12" s="64" t="e">
        <f>I9/H9*H12</f>
        <v>#DIV/0!</v>
      </c>
      <c r="J12" s="64">
        <f>J9/C9*C12</f>
        <v>715</v>
      </c>
      <c r="K12" s="51">
        <f>D12+E12+H12+J12</f>
        <v>44346.61475</v>
      </c>
      <c r="L12" s="68">
        <f t="shared" si="0"/>
        <v>44346.61475</v>
      </c>
      <c r="M12" s="64">
        <f>M9/C9*C12</f>
        <v>47845.78157142857</v>
      </c>
      <c r="N12" s="64">
        <f>N9/D9*D12</f>
        <v>14449.426035714285</v>
      </c>
      <c r="O12" s="64">
        <f>O9/E9*E12</f>
        <v>0</v>
      </c>
      <c r="P12" s="64">
        <f>P9/C9*C12</f>
        <v>195.01742857142855</v>
      </c>
      <c r="Q12" s="64">
        <f>Q9/C9*C12</f>
        <v>0</v>
      </c>
      <c r="R12" s="64">
        <f>R9/E9*E12</f>
        <v>15098.063499999998</v>
      </c>
      <c r="S12" s="50">
        <f>S9/C9*C12</f>
        <v>0</v>
      </c>
      <c r="T12" s="64">
        <f>T9/C9*C12</f>
        <v>2377.7099642857142</v>
      </c>
      <c r="U12" s="64">
        <f>U9/D9*D12</f>
        <v>3235.1205357142853</v>
      </c>
      <c r="V12" s="50">
        <f>V9/C9*C12</f>
        <v>0</v>
      </c>
      <c r="W12" s="50">
        <f>W9/C9*C12</f>
        <v>1090</v>
      </c>
      <c r="X12" s="50">
        <f>X9/D9*D12</f>
        <v>0</v>
      </c>
      <c r="Y12" s="51">
        <f>SUM(M12:X12)-0.02</f>
        <v>84291.09903571429</v>
      </c>
      <c r="Z12" s="68">
        <f>Y12/C12</f>
        <v>84291.09903571429</v>
      </c>
      <c r="AA12" s="51">
        <f>L12+Z12</f>
        <v>128637.7137857143</v>
      </c>
      <c r="AB12" s="83">
        <f>AA12/AA35</f>
        <v>0.9304878482073223</v>
      </c>
      <c r="AC12" s="53"/>
      <c r="AD12" s="53"/>
      <c r="AG12" s="55"/>
      <c r="AI12" s="56"/>
    </row>
    <row r="13" spans="1:35" s="54" customFormat="1" ht="44.25" customHeight="1">
      <c r="A13" s="19" t="s">
        <v>48</v>
      </c>
      <c r="B13" s="7" t="s">
        <v>0</v>
      </c>
      <c r="C13" s="49">
        <v>1</v>
      </c>
      <c r="D13" s="64">
        <f>D9/C9*C13</f>
        <v>33511.22485714286</v>
      </c>
      <c r="E13" s="64">
        <f>E9/C9*C13</f>
        <v>10120.389892857143</v>
      </c>
      <c r="F13" s="50"/>
      <c r="G13" s="50"/>
      <c r="H13" s="50">
        <f>H9/C9*C13</f>
        <v>0</v>
      </c>
      <c r="I13" s="50"/>
      <c r="J13" s="50">
        <f>J9/C9*C13</f>
        <v>715</v>
      </c>
      <c r="K13" s="51">
        <f>D13+E13+H13+J13</f>
        <v>44346.61475</v>
      </c>
      <c r="L13" s="68">
        <f t="shared" si="0"/>
        <v>44346.61475</v>
      </c>
      <c r="M13" s="64">
        <f>M9/C9*C13</f>
        <v>47845.78157142857</v>
      </c>
      <c r="N13" s="64">
        <f>N9/C9*C13</f>
        <v>14449.426035714287</v>
      </c>
      <c r="O13" s="50">
        <f>O9/C9*C13</f>
        <v>0</v>
      </c>
      <c r="P13" s="50">
        <f>P9/C9*C13</f>
        <v>195.01742857142855</v>
      </c>
      <c r="Q13" s="50">
        <f>Q9/C9*C13</f>
        <v>0</v>
      </c>
      <c r="R13" s="50">
        <f>R9/C9*C13</f>
        <v>15098.0635</v>
      </c>
      <c r="S13" s="50">
        <f>S9/C9*C13</f>
        <v>0</v>
      </c>
      <c r="T13" s="50">
        <f>T9/C9*C13</f>
        <v>2377.7099642857142</v>
      </c>
      <c r="U13" s="50">
        <f>U9/C9*C13</f>
        <v>3235.120535714286</v>
      </c>
      <c r="V13" s="50">
        <f>V9/C9*C13</f>
        <v>0</v>
      </c>
      <c r="W13" s="50">
        <f>W9/C9*C13</f>
        <v>1090</v>
      </c>
      <c r="X13" s="50">
        <f>X9/C9*C13</f>
        <v>0</v>
      </c>
      <c r="Y13" s="51">
        <f t="shared" si="1"/>
        <v>84291.11903571429</v>
      </c>
      <c r="Z13" s="52">
        <f>Y13/C13</f>
        <v>84291.11903571429</v>
      </c>
      <c r="AA13" s="65">
        <f>L13+Z13</f>
        <v>128637.73378571428</v>
      </c>
      <c r="AB13" s="83">
        <f>AA13/AA35</f>
        <v>0.9304879928752926</v>
      </c>
      <c r="AC13" s="53">
        <f>K13+Y13</f>
        <v>128637.73378571428</v>
      </c>
      <c r="AD13" s="53">
        <f>Y13+K13</f>
        <v>128637.73378571428</v>
      </c>
      <c r="AE13" s="54">
        <f>AA13*C13</f>
        <v>128637.73378571428</v>
      </c>
      <c r="AG13" s="55"/>
      <c r="AI13" s="56"/>
    </row>
    <row r="14" spans="1:35" s="54" customFormat="1" ht="44.25" customHeight="1" hidden="1">
      <c r="A14" s="19"/>
      <c r="B14" s="7" t="s">
        <v>0</v>
      </c>
      <c r="C14" s="49">
        <v>280</v>
      </c>
      <c r="D14" s="57">
        <f>D10+D11+D13</f>
        <v>9349631.735142857</v>
      </c>
      <c r="E14" s="57">
        <f aca="true" t="shared" si="2" ref="E14:J14">E10+E11+E13</f>
        <v>2823588.780107143</v>
      </c>
      <c r="F14" s="57">
        <f t="shared" si="2"/>
        <v>0</v>
      </c>
      <c r="G14" s="57">
        <f t="shared" si="2"/>
        <v>0</v>
      </c>
      <c r="H14" s="57">
        <f t="shared" si="2"/>
        <v>0</v>
      </c>
      <c r="I14" s="57">
        <f t="shared" si="2"/>
        <v>0</v>
      </c>
      <c r="J14" s="57">
        <f t="shared" si="2"/>
        <v>199485</v>
      </c>
      <c r="K14" s="51">
        <f>D14+E14+H14+J14</f>
        <v>12372705.51525</v>
      </c>
      <c r="L14" s="68">
        <f t="shared" si="0"/>
        <v>44188.23398303571</v>
      </c>
      <c r="M14" s="57">
        <f>M10+M11+M13</f>
        <v>13348973.05842857</v>
      </c>
      <c r="N14" s="57">
        <f aca="true" t="shared" si="3" ref="N14:X14">N10+N11+N13</f>
        <v>4031389.863964286</v>
      </c>
      <c r="O14" s="57">
        <f t="shared" si="3"/>
        <v>0</v>
      </c>
      <c r="P14" s="57">
        <f t="shared" si="3"/>
        <v>54409.86257142857</v>
      </c>
      <c r="Q14" s="57">
        <f t="shared" si="3"/>
        <v>0</v>
      </c>
      <c r="R14" s="57">
        <f t="shared" si="3"/>
        <v>4212359.7165</v>
      </c>
      <c r="S14" s="57">
        <f t="shared" si="3"/>
        <v>0</v>
      </c>
      <c r="T14" s="57">
        <f t="shared" si="3"/>
        <v>663381.0800357143</v>
      </c>
      <c r="U14" s="57">
        <f t="shared" si="3"/>
        <v>902598.6294642857</v>
      </c>
      <c r="V14" s="57">
        <f t="shared" si="3"/>
        <v>0</v>
      </c>
      <c r="W14" s="57">
        <f t="shared" si="3"/>
        <v>304110</v>
      </c>
      <c r="X14" s="57">
        <f t="shared" si="3"/>
        <v>0</v>
      </c>
      <c r="Y14" s="51">
        <f t="shared" si="1"/>
        <v>23517222.210964285</v>
      </c>
      <c r="Z14" s="60"/>
      <c r="AA14" s="61"/>
      <c r="AB14" s="84"/>
      <c r="AC14" s="53"/>
      <c r="AD14" s="53"/>
      <c r="AG14" s="55"/>
      <c r="AI14" s="56"/>
    </row>
    <row r="15" spans="1:35" s="16" customFormat="1" ht="24.75" customHeight="1">
      <c r="A15" s="35" t="s">
        <v>50</v>
      </c>
      <c r="B15" s="36" t="s">
        <v>0</v>
      </c>
      <c r="C15" s="37">
        <f>C16+C17+C18</f>
        <v>225</v>
      </c>
      <c r="D15" s="67">
        <v>8113882.56</v>
      </c>
      <c r="E15" s="67">
        <v>2450392.53</v>
      </c>
      <c r="F15" s="67"/>
      <c r="G15" s="67"/>
      <c r="H15" s="67">
        <v>0</v>
      </c>
      <c r="I15" s="67"/>
      <c r="J15" s="67">
        <v>175175</v>
      </c>
      <c r="K15" s="38">
        <f>K16+K17+K18</f>
        <v>10739450.09</v>
      </c>
      <c r="L15" s="67">
        <f>K15/C15</f>
        <v>47730.88928888889</v>
      </c>
      <c r="M15" s="33">
        <v>14678177.04</v>
      </c>
      <c r="N15" s="33">
        <v>4432809.47</v>
      </c>
      <c r="O15" s="33">
        <v>0</v>
      </c>
      <c r="P15" s="33">
        <v>76585.93</v>
      </c>
      <c r="Q15" s="33">
        <v>0</v>
      </c>
      <c r="R15" s="33">
        <v>2468543.79</v>
      </c>
      <c r="S15" s="33">
        <v>0</v>
      </c>
      <c r="T15" s="33">
        <v>671890.75</v>
      </c>
      <c r="U15" s="33">
        <v>913219.46</v>
      </c>
      <c r="V15" s="33">
        <v>0</v>
      </c>
      <c r="W15" s="33">
        <v>267050</v>
      </c>
      <c r="X15" s="33">
        <v>0</v>
      </c>
      <c r="Y15" s="33">
        <f t="shared" si="1"/>
        <v>23508276.439999998</v>
      </c>
      <c r="Z15" s="28">
        <f aca="true" t="shared" si="4" ref="Z15:Z23">Y15/C15</f>
        <v>104481.22862222222</v>
      </c>
      <c r="AA15" s="33">
        <f aca="true" t="shared" si="5" ref="AA15:AA23">L15+Z15</f>
        <v>152212.1179111111</v>
      </c>
      <c r="AB15" s="82">
        <f>AA15/AA35</f>
        <v>1.1010109080616892</v>
      </c>
      <c r="AC15" s="17">
        <f>K15+Y15</f>
        <v>34247726.53</v>
      </c>
      <c r="AD15" s="17">
        <f>Y15+K15</f>
        <v>34247726.53</v>
      </c>
      <c r="AE15" s="17">
        <f>AE16+AE17+AE18+46855</f>
        <v>34294581.529999994</v>
      </c>
      <c r="AG15" s="34"/>
      <c r="AI15" s="17"/>
    </row>
    <row r="16" spans="1:35" s="54" customFormat="1" ht="75.75" customHeight="1">
      <c r="A16" s="19" t="s">
        <v>46</v>
      </c>
      <c r="B16" s="7" t="s">
        <v>0</v>
      </c>
      <c r="C16" s="49">
        <v>84</v>
      </c>
      <c r="D16" s="64">
        <f>D15/C15*C16</f>
        <v>3029182.8224</v>
      </c>
      <c r="E16" s="64">
        <f>E15/C15*C16</f>
        <v>914813.2112</v>
      </c>
      <c r="F16" s="50"/>
      <c r="G16" s="50"/>
      <c r="H16" s="50">
        <f>H15/C15*C16</f>
        <v>0</v>
      </c>
      <c r="I16" s="50"/>
      <c r="J16" s="50">
        <f>J15/C15*C16</f>
        <v>65398.666666666664</v>
      </c>
      <c r="K16" s="51">
        <f aca="true" t="shared" si="6" ref="K16:K25">SUM(D16:J16)</f>
        <v>4009394.7002666662</v>
      </c>
      <c r="L16" s="68">
        <f t="shared" si="0"/>
        <v>47730.88928888888</v>
      </c>
      <c r="M16" s="64">
        <f>M15/C15*C16</f>
        <v>5479852.7616</v>
      </c>
      <c r="N16" s="64">
        <f>N15/D15*D16</f>
        <v>1654915.5354666666</v>
      </c>
      <c r="O16" s="64">
        <f>O15/D15*D16</f>
        <v>0</v>
      </c>
      <c r="P16" s="50">
        <f>P15/D15*D16</f>
        <v>28592.08053333333</v>
      </c>
      <c r="Q16" s="50">
        <f>Q15/D15*D16</f>
        <v>0</v>
      </c>
      <c r="R16" s="50">
        <f>R15/D15*D16</f>
        <v>921589.6816000001</v>
      </c>
      <c r="S16" s="50">
        <f>S15/D15*D16</f>
        <v>0</v>
      </c>
      <c r="T16" s="50">
        <f>T15/D15*D16</f>
        <v>250839.21333333335</v>
      </c>
      <c r="U16" s="50">
        <f>U15/D15*D16</f>
        <v>340935.26506666664</v>
      </c>
      <c r="V16" s="50">
        <f>V15/D15*D16</f>
        <v>0</v>
      </c>
      <c r="W16" s="50">
        <f>W15/D15*D16</f>
        <v>99698.66666666667</v>
      </c>
      <c r="X16" s="50">
        <f>X15/D15*D16</f>
        <v>0</v>
      </c>
      <c r="Y16" s="50">
        <f>Y15/D15*D16</f>
        <v>8776423.204266666</v>
      </c>
      <c r="Z16" s="68">
        <f t="shared" si="4"/>
        <v>104481.2286222222</v>
      </c>
      <c r="AA16" s="51">
        <f t="shared" si="5"/>
        <v>152212.1179111111</v>
      </c>
      <c r="AB16" s="83">
        <f>AA16/AA35</f>
        <v>1.1010109080616892</v>
      </c>
      <c r="AC16" s="53">
        <f>K16+Y16</f>
        <v>12785817.904533332</v>
      </c>
      <c r="AD16" s="53">
        <f>Y16+K16</f>
        <v>12785817.904533332</v>
      </c>
      <c r="AE16" s="54">
        <f>AA16*C16</f>
        <v>12785817.904533332</v>
      </c>
      <c r="AG16" s="55"/>
      <c r="AI16" s="56"/>
    </row>
    <row r="17" spans="1:35" s="54" customFormat="1" ht="72" customHeight="1">
      <c r="A17" s="19" t="s">
        <v>47</v>
      </c>
      <c r="B17" s="7" t="s">
        <v>0</v>
      </c>
      <c r="C17" s="49">
        <v>140</v>
      </c>
      <c r="D17" s="64">
        <f>D15/C15*C17</f>
        <v>5048638.037333333</v>
      </c>
      <c r="E17" s="64">
        <f>E15/C15*C17</f>
        <v>1524688.6853333332</v>
      </c>
      <c r="F17" s="50"/>
      <c r="G17" s="50"/>
      <c r="H17" s="50">
        <f>H15/C15*C17</f>
        <v>0</v>
      </c>
      <c r="I17" s="50"/>
      <c r="J17" s="50">
        <f>J15/C15*C17</f>
        <v>108997.77777777778</v>
      </c>
      <c r="K17" s="51">
        <f t="shared" si="6"/>
        <v>6682324.500444444</v>
      </c>
      <c r="L17" s="68">
        <f t="shared" si="0"/>
        <v>47730.88928888889</v>
      </c>
      <c r="M17" s="64">
        <f>M15/C15*C17</f>
        <v>9133087.935999999</v>
      </c>
      <c r="N17" s="64">
        <f>N15/D15*D17</f>
        <v>2758192.559111111</v>
      </c>
      <c r="O17" s="64">
        <f>O15/D15*D17</f>
        <v>0</v>
      </c>
      <c r="P17" s="50">
        <f>P15/D15*D17</f>
        <v>47653.46755555555</v>
      </c>
      <c r="Q17" s="50">
        <f>Q15/D15*D17</f>
        <v>0</v>
      </c>
      <c r="R17" s="50">
        <f>R15/D15*D17</f>
        <v>1535982.8026666667</v>
      </c>
      <c r="S17" s="50">
        <f>S15/D15*D17</f>
        <v>0</v>
      </c>
      <c r="T17" s="50">
        <f>T15/D15*D17</f>
        <v>418065.35555555555</v>
      </c>
      <c r="U17" s="50">
        <f>U15/D15*D17</f>
        <v>568225.4417777777</v>
      </c>
      <c r="V17" s="50">
        <f>V15/D15*D17</f>
        <v>0</v>
      </c>
      <c r="W17" s="50">
        <f>W15/D15*D17</f>
        <v>166164.44444444444</v>
      </c>
      <c r="X17" s="50">
        <f>X15/D15*D17</f>
        <v>0</v>
      </c>
      <c r="Y17" s="50">
        <f>Y15/D15*D17+0.01</f>
        <v>14627372.01711111</v>
      </c>
      <c r="Z17" s="68">
        <f t="shared" si="4"/>
        <v>104481.22869365079</v>
      </c>
      <c r="AA17" s="51">
        <f t="shared" si="5"/>
        <v>152212.11798253967</v>
      </c>
      <c r="AB17" s="83">
        <f>AA17/AA35</f>
        <v>1.1010109085783606</v>
      </c>
      <c r="AC17" s="53">
        <f>K17+Y17</f>
        <v>21309696.517555553</v>
      </c>
      <c r="AD17" s="53">
        <f>Y17+K17</f>
        <v>21309696.517555553</v>
      </c>
      <c r="AE17" s="54">
        <f>AA17*C17</f>
        <v>21309696.517555553</v>
      </c>
      <c r="AG17" s="55"/>
      <c r="AI17" s="56"/>
    </row>
    <row r="18" spans="1:35" s="54" customFormat="1" ht="44.25" customHeight="1">
      <c r="A18" s="19" t="s">
        <v>48</v>
      </c>
      <c r="B18" s="7" t="s">
        <v>0</v>
      </c>
      <c r="C18" s="49">
        <v>1</v>
      </c>
      <c r="D18" s="64">
        <f>D15/C15*C18</f>
        <v>36061.70026666667</v>
      </c>
      <c r="E18" s="64">
        <f>E15/C15*C18</f>
        <v>10890.633466666666</v>
      </c>
      <c r="F18" s="50"/>
      <c r="G18" s="50"/>
      <c r="H18" s="50">
        <f>H15/C15*C18</f>
        <v>0</v>
      </c>
      <c r="I18" s="50"/>
      <c r="J18" s="50">
        <f>J15/C15*C18</f>
        <v>778.5555555555555</v>
      </c>
      <c r="K18" s="51">
        <f>SUM(D18:J18)</f>
        <v>47730.88928888889</v>
      </c>
      <c r="L18" s="68">
        <f t="shared" si="0"/>
        <v>47730.88928888889</v>
      </c>
      <c r="M18" s="64">
        <f>M15/C15*C18-0.01</f>
        <v>65236.33239999999</v>
      </c>
      <c r="N18" s="64">
        <f>N15/D15*D18</f>
        <v>19701.375422222223</v>
      </c>
      <c r="O18" s="64">
        <f>O15/D15*D18</f>
        <v>0</v>
      </c>
      <c r="P18" s="50">
        <f>P15/D15*D18</f>
        <v>340.3819111111111</v>
      </c>
      <c r="Q18" s="50">
        <f>Q15/D15*D18</f>
        <v>0</v>
      </c>
      <c r="R18" s="50">
        <f>R15/D15*D18</f>
        <v>10971.305733333335</v>
      </c>
      <c r="S18" s="50">
        <f>S15/D15*D18</f>
        <v>0</v>
      </c>
      <c r="T18" s="50">
        <f>T15/D15*D18</f>
        <v>2986.1811111111115</v>
      </c>
      <c r="U18" s="50">
        <f>U15/D15*D18</f>
        <v>4058.7531555555556</v>
      </c>
      <c r="V18" s="50">
        <f>V15/D15*D18</f>
        <v>0</v>
      </c>
      <c r="W18" s="50">
        <f>W15/D15*D18</f>
        <v>1186.888888888889</v>
      </c>
      <c r="X18" s="50">
        <f>X15/D15*D18</f>
        <v>0</v>
      </c>
      <c r="Y18" s="50">
        <f>Y15/D15*D18-0.01</f>
        <v>104481.21862222222</v>
      </c>
      <c r="Z18" s="68">
        <f t="shared" si="4"/>
        <v>104481.21862222222</v>
      </c>
      <c r="AA18" s="51">
        <f t="shared" si="5"/>
        <v>152212.10791111112</v>
      </c>
      <c r="AB18" s="83">
        <f>AA18/AA35</f>
        <v>1.1010108357277042</v>
      </c>
      <c r="AC18" s="53">
        <f>K18+Y18</f>
        <v>152212.10791111112</v>
      </c>
      <c r="AD18" s="53">
        <f>Y18+K18</f>
        <v>152212.10791111112</v>
      </c>
      <c r="AE18" s="54">
        <f>AA18*C18</f>
        <v>152212.10791111112</v>
      </c>
      <c r="AG18" s="55"/>
      <c r="AI18" s="56"/>
    </row>
    <row r="19" spans="1:35" s="54" customFormat="1" ht="44.25" customHeight="1" hidden="1">
      <c r="A19" s="19"/>
      <c r="B19" s="7" t="s">
        <v>0</v>
      </c>
      <c r="C19" s="49">
        <v>245</v>
      </c>
      <c r="D19" s="57">
        <f>D16+D17+D18</f>
        <v>8113882.56</v>
      </c>
      <c r="E19" s="57">
        <f aca="true" t="shared" si="7" ref="E19:J19">E16+E17+E18</f>
        <v>2450392.53</v>
      </c>
      <c r="F19" s="57">
        <f t="shared" si="7"/>
        <v>0</v>
      </c>
      <c r="G19" s="57">
        <f t="shared" si="7"/>
        <v>0</v>
      </c>
      <c r="H19" s="57">
        <f t="shared" si="7"/>
        <v>0</v>
      </c>
      <c r="I19" s="57">
        <f t="shared" si="7"/>
        <v>0</v>
      </c>
      <c r="J19" s="57">
        <f t="shared" si="7"/>
        <v>175175</v>
      </c>
      <c r="K19" s="51">
        <f t="shared" si="6"/>
        <v>10739450.09</v>
      </c>
      <c r="L19" s="68">
        <f t="shared" si="0"/>
        <v>43834.490163265305</v>
      </c>
      <c r="M19" s="57">
        <f>M16+M17+M18+0.01</f>
        <v>14678177.04</v>
      </c>
      <c r="N19" s="57">
        <f aca="true" t="shared" si="8" ref="N19:X19">N16+N17+N18</f>
        <v>4432809.47</v>
      </c>
      <c r="O19" s="57">
        <f t="shared" si="8"/>
        <v>0</v>
      </c>
      <c r="P19" s="57">
        <f t="shared" si="8"/>
        <v>76585.93</v>
      </c>
      <c r="Q19" s="57">
        <f t="shared" si="8"/>
        <v>0</v>
      </c>
      <c r="R19" s="57">
        <f t="shared" si="8"/>
        <v>2468543.79</v>
      </c>
      <c r="S19" s="57">
        <f t="shared" si="8"/>
        <v>0</v>
      </c>
      <c r="T19" s="57">
        <f t="shared" si="8"/>
        <v>671890.75</v>
      </c>
      <c r="U19" s="57">
        <f t="shared" si="8"/>
        <v>913219.46</v>
      </c>
      <c r="V19" s="57">
        <f t="shared" si="8"/>
        <v>0</v>
      </c>
      <c r="W19" s="57">
        <f t="shared" si="8"/>
        <v>267050</v>
      </c>
      <c r="X19" s="57">
        <f t="shared" si="8"/>
        <v>0</v>
      </c>
      <c r="Y19" s="51">
        <f>SUM(M19:X19)</f>
        <v>23508276.439999998</v>
      </c>
      <c r="Z19" s="60">
        <f t="shared" si="4"/>
        <v>95952.14873469387</v>
      </c>
      <c r="AA19" s="61">
        <f t="shared" si="5"/>
        <v>139786.63889795917</v>
      </c>
      <c r="AB19" s="84"/>
      <c r="AC19" s="53"/>
      <c r="AD19" s="53"/>
      <c r="AG19" s="55"/>
      <c r="AI19" s="56"/>
    </row>
    <row r="20" spans="1:35" s="71" customFormat="1" ht="43.5" customHeight="1">
      <c r="A20" s="35" t="s">
        <v>51</v>
      </c>
      <c r="B20" s="36" t="s">
        <v>0</v>
      </c>
      <c r="C20" s="69">
        <f>C21+C22+C23</f>
        <v>150</v>
      </c>
      <c r="D20" s="80">
        <v>4891902.84</v>
      </c>
      <c r="E20" s="80">
        <v>1477354.66</v>
      </c>
      <c r="F20" s="80"/>
      <c r="G20" s="80"/>
      <c r="H20" s="80">
        <v>0</v>
      </c>
      <c r="I20" s="80"/>
      <c r="J20" s="80">
        <v>107250</v>
      </c>
      <c r="K20" s="70">
        <f t="shared" si="6"/>
        <v>6476507.5</v>
      </c>
      <c r="L20" s="68">
        <f>K20/C20</f>
        <v>43176.71666666667</v>
      </c>
      <c r="M20" s="70">
        <v>9614435.4</v>
      </c>
      <c r="N20" s="70">
        <f>2903559.49-0.01</f>
        <v>2903559.4800000004</v>
      </c>
      <c r="O20" s="70">
        <v>0</v>
      </c>
      <c r="P20" s="70">
        <v>60008.73</v>
      </c>
      <c r="Q20" s="70">
        <v>0</v>
      </c>
      <c r="R20" s="70">
        <v>1351345.33</v>
      </c>
      <c r="S20" s="70">
        <v>0</v>
      </c>
      <c r="T20" s="70">
        <v>449821.55</v>
      </c>
      <c r="U20" s="70">
        <v>622283.92</v>
      </c>
      <c r="V20" s="70">
        <v>0</v>
      </c>
      <c r="W20" s="70">
        <v>163500</v>
      </c>
      <c r="X20" s="70">
        <v>0</v>
      </c>
      <c r="Y20" s="70">
        <f>SUM(M20:X20)</f>
        <v>15164954.410000002</v>
      </c>
      <c r="Z20" s="68">
        <f t="shared" si="4"/>
        <v>101099.69606666669</v>
      </c>
      <c r="AA20" s="70">
        <f t="shared" si="5"/>
        <v>144276.41273333336</v>
      </c>
      <c r="AB20" s="83">
        <f>AA20/AA35</f>
        <v>1.0436087899925004</v>
      </c>
      <c r="AC20" s="53">
        <f>K20+Y20</f>
        <v>21641461.910000004</v>
      </c>
      <c r="AD20" s="53">
        <f>Y20+K20</f>
        <v>21641461.910000004</v>
      </c>
      <c r="AE20" s="53">
        <f>AE21+AE22+AE23+26003</f>
        <v>21667464.908999886</v>
      </c>
      <c r="AG20" s="72"/>
      <c r="AI20" s="53"/>
    </row>
    <row r="21" spans="1:35" s="54" customFormat="1" ht="75.75" customHeight="1">
      <c r="A21" s="19" t="s">
        <v>58</v>
      </c>
      <c r="B21" s="7" t="s">
        <v>0</v>
      </c>
      <c r="C21" s="49">
        <v>50</v>
      </c>
      <c r="D21" s="64">
        <f>D20/C20*C21</f>
        <v>1630634.28</v>
      </c>
      <c r="E21" s="64">
        <f>E20/C20*C21</f>
        <v>492451.55333333334</v>
      </c>
      <c r="F21" s="50"/>
      <c r="G21" s="50"/>
      <c r="H21" s="50">
        <f>H20/C20*C21</f>
        <v>0</v>
      </c>
      <c r="I21" s="50"/>
      <c r="J21" s="50">
        <f>J20/C20*C21</f>
        <v>35750</v>
      </c>
      <c r="K21" s="31">
        <f t="shared" si="6"/>
        <v>2158835.8333333335</v>
      </c>
      <c r="L21" s="68">
        <f>K21/C21</f>
        <v>43176.71666666667</v>
      </c>
      <c r="M21" s="64">
        <f>M20/C20*C21</f>
        <v>3204811.8000000003</v>
      </c>
      <c r="N21" s="64">
        <f>N20/D20*D21+0.01</f>
        <v>967853.1700000003</v>
      </c>
      <c r="O21" s="64">
        <f>O20/D20*D21</f>
        <v>0</v>
      </c>
      <c r="P21" s="50">
        <f>P20/D20*D21</f>
        <v>20002.910000000003</v>
      </c>
      <c r="Q21" s="50">
        <f>Q20/D20*D21</f>
        <v>0</v>
      </c>
      <c r="R21" s="50">
        <f>R20/D20*D21</f>
        <v>450448.44333333336</v>
      </c>
      <c r="S21" s="50">
        <f>S20/D20*D21</f>
        <v>0</v>
      </c>
      <c r="T21" s="50">
        <f>T20/D20*D21</f>
        <v>149940.51666666666</v>
      </c>
      <c r="U21" s="50">
        <f>U20/D20*D21</f>
        <v>207427.9733333334</v>
      </c>
      <c r="V21" s="50">
        <f>V20/D20*D21</f>
        <v>0</v>
      </c>
      <c r="W21" s="50">
        <f>W20/D20*D21</f>
        <v>54500.00000000001</v>
      </c>
      <c r="X21" s="50">
        <f>X20/D20*D21</f>
        <v>0</v>
      </c>
      <c r="Y21" s="50">
        <f>Y20/D20*D21</f>
        <v>5054984.803333334</v>
      </c>
      <c r="Z21" s="68">
        <f t="shared" si="4"/>
        <v>101099.69606666667</v>
      </c>
      <c r="AA21" s="51">
        <f t="shared" si="5"/>
        <v>144276.41273333333</v>
      </c>
      <c r="AB21" s="83">
        <f>AA21/AA35</f>
        <v>1.0436087899925002</v>
      </c>
      <c r="AC21" s="53">
        <f>K21+Y21</f>
        <v>7213820.636666667</v>
      </c>
      <c r="AD21" s="53">
        <f>Y21+K21</f>
        <v>7213820.636666667</v>
      </c>
      <c r="AE21" s="54">
        <f>AA21*C21</f>
        <v>7213820.636666667</v>
      </c>
      <c r="AG21" s="55"/>
      <c r="AI21" s="56"/>
    </row>
    <row r="22" spans="1:35" s="54" customFormat="1" ht="72" customHeight="1">
      <c r="A22" s="19" t="s">
        <v>47</v>
      </c>
      <c r="B22" s="7" t="s">
        <v>0</v>
      </c>
      <c r="C22" s="49">
        <v>99</v>
      </c>
      <c r="D22" s="64">
        <f>D20/C20*C22</f>
        <v>3228655.8744</v>
      </c>
      <c r="E22" s="64">
        <f>E20/C20*C22</f>
        <v>975054.0756</v>
      </c>
      <c r="F22" s="50"/>
      <c r="G22" s="50"/>
      <c r="H22" s="50">
        <f>H20/C20*C22</f>
        <v>0</v>
      </c>
      <c r="I22" s="50"/>
      <c r="J22" s="50">
        <f>J20/C20*C22</f>
        <v>70785</v>
      </c>
      <c r="K22" s="31">
        <f>SUM(D22:J22)+0.01</f>
        <v>4274494.96</v>
      </c>
      <c r="L22" s="68">
        <f>K22/C22</f>
        <v>43176.716767676764</v>
      </c>
      <c r="M22" s="64">
        <f>M20/C20*C22</f>
        <v>6345527.364</v>
      </c>
      <c r="N22" s="64">
        <f>N20/D20*D22</f>
        <v>1916349.2568000006</v>
      </c>
      <c r="O22" s="64">
        <f>O20/D20*D22</f>
        <v>0</v>
      </c>
      <c r="P22" s="50">
        <f>P20/D20*D22</f>
        <v>39605.76180000001</v>
      </c>
      <c r="Q22" s="50">
        <f>Q20/D20*D22</f>
        <v>0</v>
      </c>
      <c r="R22" s="50">
        <f>R20/D20*D22</f>
        <v>891887.9178</v>
      </c>
      <c r="S22" s="50">
        <f>S20/D20*D22</f>
        <v>0</v>
      </c>
      <c r="T22" s="50">
        <f>T20/D20*D22</f>
        <v>296882.223</v>
      </c>
      <c r="U22" s="50">
        <f>U20/D20*D22</f>
        <v>410707.3872000001</v>
      </c>
      <c r="V22" s="50">
        <f>V20/D20*D22</f>
        <v>0</v>
      </c>
      <c r="W22" s="50">
        <f>W20/D20*D22</f>
        <v>107910.00000000001</v>
      </c>
      <c r="X22" s="50">
        <f>X20/D20*D22</f>
        <v>0</v>
      </c>
      <c r="Y22" s="50">
        <f>Y20/D20*D22</f>
        <v>10008869.910600001</v>
      </c>
      <c r="Z22" s="68">
        <f t="shared" si="4"/>
        <v>101099.69606666667</v>
      </c>
      <c r="AA22" s="51">
        <f t="shared" si="5"/>
        <v>144276.41283434344</v>
      </c>
      <c r="AB22" s="83">
        <f>AA22/AA35</f>
        <v>1.0436087907231464</v>
      </c>
      <c r="AC22" s="53">
        <f>K22+Y22</f>
        <v>14283364.8706</v>
      </c>
      <c r="AD22" s="53">
        <f>Y22+K22</f>
        <v>14283364.8706</v>
      </c>
      <c r="AE22" s="54">
        <f>AA22*C22</f>
        <v>14283364.8706</v>
      </c>
      <c r="AG22" s="55"/>
      <c r="AI22" s="56"/>
    </row>
    <row r="23" spans="1:35" s="54" customFormat="1" ht="44.25" customHeight="1">
      <c r="A23" s="19" t="s">
        <v>48</v>
      </c>
      <c r="B23" s="7" t="s">
        <v>0</v>
      </c>
      <c r="C23" s="49">
        <v>1</v>
      </c>
      <c r="D23" s="64">
        <f>D20/C20*C23-0.01</f>
        <v>32612.675600000002</v>
      </c>
      <c r="E23" s="64">
        <f>E20/C20*C23</f>
        <v>9849.031066666666</v>
      </c>
      <c r="F23" s="50"/>
      <c r="G23" s="50"/>
      <c r="H23" s="50">
        <f>H20/C20*C23</f>
        <v>0</v>
      </c>
      <c r="I23" s="50"/>
      <c r="J23" s="50">
        <f>J20/C20*C23</f>
        <v>715</v>
      </c>
      <c r="K23" s="31">
        <f t="shared" si="6"/>
        <v>43176.706666666665</v>
      </c>
      <c r="L23" s="68">
        <f>K23/C23</f>
        <v>43176.706666666665</v>
      </c>
      <c r="M23" s="64">
        <f>M20/C20*C23</f>
        <v>64096.236000000004</v>
      </c>
      <c r="N23" s="64">
        <f>N20/D20*D23</f>
        <v>19357.057264560208</v>
      </c>
      <c r="O23" s="64">
        <f>O20/D20*D23</f>
        <v>0</v>
      </c>
      <c r="P23" s="50">
        <f>P20/D20*D23</f>
        <v>400.05807733049505</v>
      </c>
      <c r="Q23" s="50">
        <f>Q20/D20*D23</f>
        <v>0</v>
      </c>
      <c r="R23" s="50">
        <f>R20/D20*D23</f>
        <v>9008.96610425422</v>
      </c>
      <c r="S23" s="50">
        <f>S20/D20*D23</f>
        <v>0</v>
      </c>
      <c r="T23" s="50">
        <f>T20/D20*D23</f>
        <v>2998.809413810676</v>
      </c>
      <c r="U23" s="50">
        <f>U20/D20*D23</f>
        <v>4148.558194597413</v>
      </c>
      <c r="V23" s="50">
        <f>V20/D20*D23</f>
        <v>0</v>
      </c>
      <c r="W23" s="50">
        <f>W20/D20*D23</f>
        <v>1089.9996657742288</v>
      </c>
      <c r="X23" s="50">
        <f>X20/D20*D23</f>
        <v>0</v>
      </c>
      <c r="Y23" s="50">
        <f>Y20/D20*D23+0.03</f>
        <v>101099.69506655302</v>
      </c>
      <c r="Z23" s="68">
        <f t="shared" si="4"/>
        <v>101099.69506655302</v>
      </c>
      <c r="AA23" s="51">
        <f t="shared" si="5"/>
        <v>144276.40173321968</v>
      </c>
      <c r="AB23" s="83">
        <f>AA23/AA35</f>
        <v>1.0436087104242944</v>
      </c>
      <c r="AC23" s="53">
        <f>K23+Y23</f>
        <v>144276.40173321968</v>
      </c>
      <c r="AD23" s="53">
        <f>Y23+K23</f>
        <v>144276.40173321968</v>
      </c>
      <c r="AE23" s="54">
        <f>AA23*C23</f>
        <v>144276.40173321968</v>
      </c>
      <c r="AG23" s="55"/>
      <c r="AI23" s="56"/>
    </row>
    <row r="24" spans="1:35" s="54" customFormat="1" ht="44.25" customHeight="1" hidden="1">
      <c r="A24" s="19"/>
      <c r="B24" s="7" t="s">
        <v>0</v>
      </c>
      <c r="C24" s="49">
        <v>150</v>
      </c>
      <c r="D24" s="57">
        <f>SUM(D21:D23)+0.01</f>
        <v>4891902.84</v>
      </c>
      <c r="E24" s="57">
        <f aca="true" t="shared" si="9" ref="E24:J24">SUM(E21:E23)</f>
        <v>1477354.66</v>
      </c>
      <c r="F24" s="57">
        <f t="shared" si="9"/>
        <v>0</v>
      </c>
      <c r="G24" s="57">
        <f t="shared" si="9"/>
        <v>0</v>
      </c>
      <c r="H24" s="57">
        <f t="shared" si="9"/>
        <v>0</v>
      </c>
      <c r="I24" s="57">
        <f t="shared" si="9"/>
        <v>0</v>
      </c>
      <c r="J24" s="57">
        <f t="shared" si="9"/>
        <v>107250</v>
      </c>
      <c r="K24" s="31">
        <f t="shared" si="6"/>
        <v>6476507.5</v>
      </c>
      <c r="L24" s="60"/>
      <c r="M24" s="57">
        <f>SUM(M21:M23)</f>
        <v>9614435.4</v>
      </c>
      <c r="N24" s="57">
        <f aca="true" t="shared" si="10" ref="N24:X24">SUM(N21:N23)</f>
        <v>2903559.4840645613</v>
      </c>
      <c r="O24" s="57">
        <f t="shared" si="10"/>
        <v>0</v>
      </c>
      <c r="P24" s="57">
        <f t="shared" si="10"/>
        <v>60008.72987733051</v>
      </c>
      <c r="Q24" s="57">
        <f t="shared" si="10"/>
        <v>0</v>
      </c>
      <c r="R24" s="57">
        <f t="shared" si="10"/>
        <v>1351345.3272375874</v>
      </c>
      <c r="S24" s="57">
        <f t="shared" si="10"/>
        <v>0</v>
      </c>
      <c r="T24" s="57">
        <f t="shared" si="10"/>
        <v>449821.5490804773</v>
      </c>
      <c r="U24" s="57">
        <f t="shared" si="10"/>
        <v>622283.9187279309</v>
      </c>
      <c r="V24" s="57">
        <f t="shared" si="10"/>
        <v>0</v>
      </c>
      <c r="W24" s="57">
        <f t="shared" si="10"/>
        <v>163499.99966577426</v>
      </c>
      <c r="X24" s="57">
        <f t="shared" si="10"/>
        <v>0</v>
      </c>
      <c r="Y24" s="31">
        <f>SUM(M24:X24)</f>
        <v>15164954.408653663</v>
      </c>
      <c r="Z24" s="60"/>
      <c r="AA24" s="61"/>
      <c r="AB24" s="84"/>
      <c r="AC24" s="53"/>
      <c r="AD24" s="53"/>
      <c r="AG24" s="55"/>
      <c r="AI24" s="56"/>
    </row>
    <row r="25" spans="1:35" s="71" customFormat="1" ht="43.5" customHeight="1">
      <c r="A25" s="35" t="s">
        <v>52</v>
      </c>
      <c r="B25" s="36" t="s">
        <v>0</v>
      </c>
      <c r="C25" s="69">
        <f>C26+C27+C28</f>
        <v>195</v>
      </c>
      <c r="D25" s="80">
        <v>6252166.8</v>
      </c>
      <c r="E25" s="80">
        <v>1888154.37</v>
      </c>
      <c r="F25" s="80"/>
      <c r="G25" s="80"/>
      <c r="H25" s="80">
        <v>0</v>
      </c>
      <c r="I25" s="80"/>
      <c r="J25" s="80">
        <v>139425</v>
      </c>
      <c r="K25" s="70">
        <f t="shared" si="6"/>
        <v>8279746.17</v>
      </c>
      <c r="L25" s="68">
        <f>K25/C25</f>
        <v>42460.23676923077</v>
      </c>
      <c r="M25" s="70">
        <v>11824580.16</v>
      </c>
      <c r="N25" s="70">
        <v>3571023.21</v>
      </c>
      <c r="O25" s="70">
        <v>0</v>
      </c>
      <c r="P25" s="70">
        <v>73547.82</v>
      </c>
      <c r="Q25" s="70">
        <v>0</v>
      </c>
      <c r="R25" s="70">
        <v>2202706.25</v>
      </c>
      <c r="S25" s="70">
        <v>0</v>
      </c>
      <c r="T25" s="70">
        <v>523306.99</v>
      </c>
      <c r="U25" s="70">
        <v>694780.36</v>
      </c>
      <c r="V25" s="70">
        <v>0</v>
      </c>
      <c r="W25" s="70">
        <v>212550</v>
      </c>
      <c r="X25" s="70">
        <v>0</v>
      </c>
      <c r="Y25" s="70">
        <f>SUM(M25:X25)</f>
        <v>19102494.79</v>
      </c>
      <c r="Z25" s="68">
        <f>Y25/C25</f>
        <v>97961.51174358974</v>
      </c>
      <c r="AA25" s="70">
        <f>L25+Z25</f>
        <v>140421.74851282052</v>
      </c>
      <c r="AB25" s="83">
        <f>AA25/AA35</f>
        <v>1.0157264675339286</v>
      </c>
      <c r="AC25" s="53">
        <f>K25+Y25</f>
        <v>27382240.96</v>
      </c>
      <c r="AD25" s="53">
        <f>Y25+K25</f>
        <v>27382240.96</v>
      </c>
      <c r="AE25" s="53">
        <f>AE26+AE27+40618+60300</f>
        <v>27342737.21148718</v>
      </c>
      <c r="AG25" s="72"/>
      <c r="AI25" s="53"/>
    </row>
    <row r="26" spans="1:35" s="54" customFormat="1" ht="75.75" customHeight="1">
      <c r="A26" s="19" t="s">
        <v>46</v>
      </c>
      <c r="B26" s="7" t="s">
        <v>0</v>
      </c>
      <c r="C26" s="49">
        <v>21</v>
      </c>
      <c r="D26" s="64">
        <f>D25/C25*C26</f>
        <v>673310.2707692308</v>
      </c>
      <c r="E26" s="64">
        <f>E25/C25*C26</f>
        <v>203339.7013846154</v>
      </c>
      <c r="F26" s="50"/>
      <c r="G26" s="50"/>
      <c r="H26" s="50">
        <f>H25/C25*C26</f>
        <v>0</v>
      </c>
      <c r="I26" s="50"/>
      <c r="J26" s="50">
        <f>J25/C25*C26</f>
        <v>15015</v>
      </c>
      <c r="K26" s="51">
        <f>D26+E26+H26+J26</f>
        <v>891664.9721538462</v>
      </c>
      <c r="L26" s="68">
        <f>K26/C26</f>
        <v>42460.23676923077</v>
      </c>
      <c r="M26" s="64">
        <f>M25/C25*C26</f>
        <v>1273416.324923077</v>
      </c>
      <c r="N26" s="64">
        <f>N25/D25*D26</f>
        <v>384571.73030769237</v>
      </c>
      <c r="O26" s="64">
        <f>O25/D25*D26</f>
        <v>0</v>
      </c>
      <c r="P26" s="50">
        <f>P25/D25*D26</f>
        <v>7920.534461538462</v>
      </c>
      <c r="Q26" s="50">
        <f>Q25/D25*D26</f>
        <v>0</v>
      </c>
      <c r="R26" s="50">
        <f>R25/D25*D26</f>
        <v>237214.51923076925</v>
      </c>
      <c r="S26" s="50">
        <f>S25/D25*D26</f>
        <v>0</v>
      </c>
      <c r="T26" s="50">
        <f>T25/D25*D26</f>
        <v>56356.13738461539</v>
      </c>
      <c r="U26" s="50">
        <f>U25/D25*D26</f>
        <v>74822.50030769232</v>
      </c>
      <c r="V26" s="50">
        <f>V25/D25*D26</f>
        <v>0</v>
      </c>
      <c r="W26" s="50">
        <f>W25/D25*D26</f>
        <v>22890</v>
      </c>
      <c r="X26" s="50">
        <f>X25/D25*D26</f>
        <v>0</v>
      </c>
      <c r="Y26" s="50">
        <f>Y25/D25*D26-0.01</f>
        <v>2057191.7366153845</v>
      </c>
      <c r="Z26" s="68">
        <f>Y26/C26</f>
        <v>97961.51126739926</v>
      </c>
      <c r="AA26" s="51">
        <f>L26+Z26</f>
        <v>140421.74803663002</v>
      </c>
      <c r="AB26" s="83">
        <f>AA26/AA35</f>
        <v>1.0157264640894528</v>
      </c>
      <c r="AC26" s="53">
        <f>K26+Y26+0.01</f>
        <v>2948856.7187692304</v>
      </c>
      <c r="AD26" s="53">
        <f>Y26+K26</f>
        <v>2948856.7087692306</v>
      </c>
      <c r="AE26" s="54">
        <f>AA26*C26</f>
        <v>2948856.70876923</v>
      </c>
      <c r="AG26" s="55"/>
      <c r="AI26" s="56"/>
    </row>
    <row r="27" spans="1:35" s="54" customFormat="1" ht="72" customHeight="1">
      <c r="A27" s="19" t="s">
        <v>47</v>
      </c>
      <c r="B27" s="7" t="s">
        <v>0</v>
      </c>
      <c r="C27" s="49">
        <v>173</v>
      </c>
      <c r="D27" s="64">
        <f>D25/C25*C27</f>
        <v>5546794.1353846155</v>
      </c>
      <c r="E27" s="64">
        <f>E25/C25*C27</f>
        <v>1675131.8256923077</v>
      </c>
      <c r="F27" s="50"/>
      <c r="G27" s="50"/>
      <c r="H27" s="50">
        <f>H25/C25*C27</f>
        <v>0</v>
      </c>
      <c r="I27" s="50"/>
      <c r="J27" s="50">
        <f>J25/C25*C27</f>
        <v>123695</v>
      </c>
      <c r="K27" s="51">
        <f>D27+E27+H27+J27</f>
        <v>7345620.961076923</v>
      </c>
      <c r="L27" s="68">
        <f>K27/C27</f>
        <v>42460.23676923077</v>
      </c>
      <c r="M27" s="64">
        <f>M25/C25*C27</f>
        <v>10490524.962461539</v>
      </c>
      <c r="N27" s="64">
        <f>N25/D25*D27</f>
        <v>3168138.5401538466</v>
      </c>
      <c r="O27" s="64">
        <f>O25/D25*D27</f>
        <v>0</v>
      </c>
      <c r="P27" s="50">
        <f>P25/D25*D27</f>
        <v>65250.11723076924</v>
      </c>
      <c r="Q27" s="50">
        <f>Q25/D25*D27</f>
        <v>0</v>
      </c>
      <c r="R27" s="50">
        <f>R25/D25*D27</f>
        <v>1954195.8012820515</v>
      </c>
      <c r="S27" s="50">
        <f>S25/D25*D27</f>
        <v>0</v>
      </c>
      <c r="T27" s="50">
        <f>T25/D25*D27</f>
        <v>464267.227025641</v>
      </c>
      <c r="U27" s="50">
        <f>U25/D25*D27</f>
        <v>616394.8834871795</v>
      </c>
      <c r="V27" s="50">
        <f>V25/D25*D27</f>
        <v>0</v>
      </c>
      <c r="W27" s="50">
        <f>W25/D25*D27</f>
        <v>188570</v>
      </c>
      <c r="X27" s="50">
        <f>X25/D25*D27</f>
        <v>0</v>
      </c>
      <c r="Y27" s="50">
        <f>Y25/D25*D27+0.01</f>
        <v>16947341.541641027</v>
      </c>
      <c r="Z27" s="68">
        <f>Y27/C27</f>
        <v>97961.51180139322</v>
      </c>
      <c r="AA27" s="51">
        <f>L27+Z27</f>
        <v>140421.74857062398</v>
      </c>
      <c r="AB27" s="83">
        <f>AA27/AA35</f>
        <v>1.0157264679520441</v>
      </c>
      <c r="AC27" s="53">
        <f>K27+Y27-0.01</f>
        <v>24292962.492717948</v>
      </c>
      <c r="AD27" s="53">
        <f>Y27+K27</f>
        <v>24292962.50271795</v>
      </c>
      <c r="AE27" s="54">
        <f>AA27*C27</f>
        <v>24292962.50271795</v>
      </c>
      <c r="AG27" s="55"/>
      <c r="AI27" s="56"/>
    </row>
    <row r="28" spans="1:35" s="54" customFormat="1" ht="44.25" customHeight="1">
      <c r="A28" s="19" t="s">
        <v>48</v>
      </c>
      <c r="B28" s="7" t="s">
        <v>0</v>
      </c>
      <c r="C28" s="49">
        <v>1</v>
      </c>
      <c r="D28" s="64">
        <f>D25/C25*C28</f>
        <v>32062.393846153846</v>
      </c>
      <c r="E28" s="64">
        <f>E25/C25*C28</f>
        <v>9682.842923076923</v>
      </c>
      <c r="F28" s="50"/>
      <c r="G28" s="50"/>
      <c r="H28" s="50">
        <f>H25/C25*C28</f>
        <v>0</v>
      </c>
      <c r="I28" s="50"/>
      <c r="J28" s="50">
        <f>J25/C25*C28</f>
        <v>715</v>
      </c>
      <c r="K28" s="51">
        <f>D28+E28+H28+J28</f>
        <v>42460.23676923077</v>
      </c>
      <c r="L28" s="68">
        <f>K28/C28</f>
        <v>42460.23676923077</v>
      </c>
      <c r="M28" s="64">
        <f>M25/C25*C28</f>
        <v>60638.872615384615</v>
      </c>
      <c r="N28" s="64">
        <f>N25/D25*D28</f>
        <v>18312.939538461538</v>
      </c>
      <c r="O28" s="64">
        <f>O25/D25*D28</f>
        <v>0</v>
      </c>
      <c r="P28" s="50">
        <f>P25/D25*D28</f>
        <v>377.16830769230774</v>
      </c>
      <c r="Q28" s="50">
        <f>Q25/D25*D28</f>
        <v>0</v>
      </c>
      <c r="R28" s="50">
        <f>R25/D25*D28</f>
        <v>11295.929487179486</v>
      </c>
      <c r="S28" s="50">
        <f>S25/D25*D28</f>
        <v>0</v>
      </c>
      <c r="T28" s="50">
        <f>T25/D25*D28</f>
        <v>2683.62558974359</v>
      </c>
      <c r="U28" s="50">
        <f>U25/D25*D28</f>
        <v>3562.976205128205</v>
      </c>
      <c r="V28" s="50">
        <f>V25/D25*D28</f>
        <v>0</v>
      </c>
      <c r="W28" s="50">
        <f>W25/D25*D28</f>
        <v>1090</v>
      </c>
      <c r="X28" s="50">
        <f>X25/D25*D28</f>
        <v>0</v>
      </c>
      <c r="Y28" s="50">
        <f>Y25/D25*D28</f>
        <v>97961.51174358974</v>
      </c>
      <c r="Z28" s="68">
        <f>Y28/C28</f>
        <v>97961.51174358974</v>
      </c>
      <c r="AA28" s="51">
        <f>L28+Z28</f>
        <v>140421.74851282052</v>
      </c>
      <c r="AB28" s="83">
        <f>AA28/AA35</f>
        <v>1.0157264675339286</v>
      </c>
      <c r="AC28" s="53">
        <f>K28+Y28</f>
        <v>140421.74851282052</v>
      </c>
      <c r="AD28" s="53">
        <f>Y28+K28</f>
        <v>140421.74851282052</v>
      </c>
      <c r="AE28" s="54">
        <f>AA28*C28</f>
        <v>140421.74851282052</v>
      </c>
      <c r="AG28" s="55"/>
      <c r="AI28" s="56"/>
    </row>
    <row r="29" spans="1:35" s="10" customFormat="1" ht="44.25" customHeight="1" hidden="1">
      <c r="A29" s="19"/>
      <c r="B29" s="7" t="s">
        <v>0</v>
      </c>
      <c r="C29" s="49">
        <v>195</v>
      </c>
      <c r="D29" s="57">
        <f>D26+D27+D28</f>
        <v>6252166.800000001</v>
      </c>
      <c r="E29" s="57">
        <f aca="true" t="shared" si="11" ref="E29:J29">E26+E27+E28</f>
        <v>1888154.3699999999</v>
      </c>
      <c r="F29" s="57">
        <f t="shared" si="11"/>
        <v>0</v>
      </c>
      <c r="G29" s="57">
        <f t="shared" si="11"/>
        <v>0</v>
      </c>
      <c r="H29" s="57">
        <f t="shared" si="11"/>
        <v>0</v>
      </c>
      <c r="I29" s="57">
        <f t="shared" si="11"/>
        <v>0</v>
      </c>
      <c r="J29" s="57">
        <f t="shared" si="11"/>
        <v>139425</v>
      </c>
      <c r="K29" s="51">
        <f>D29+E29+H29+J29</f>
        <v>8279746.170000001</v>
      </c>
      <c r="L29" s="60"/>
      <c r="M29" s="57">
        <f>M26+M27+M28</f>
        <v>11824580.16</v>
      </c>
      <c r="N29" s="57">
        <f aca="true" t="shared" si="12" ref="N29:X29">N26+N27+N28</f>
        <v>3571023.2100000004</v>
      </c>
      <c r="O29" s="57">
        <f t="shared" si="12"/>
        <v>0</v>
      </c>
      <c r="P29" s="57">
        <f t="shared" si="12"/>
        <v>73547.82</v>
      </c>
      <c r="Q29" s="57">
        <f t="shared" si="12"/>
        <v>0</v>
      </c>
      <c r="R29" s="57">
        <f t="shared" si="12"/>
        <v>2202706.2500000005</v>
      </c>
      <c r="S29" s="57">
        <f t="shared" si="12"/>
        <v>0</v>
      </c>
      <c r="T29" s="57">
        <f t="shared" si="12"/>
        <v>523306.99</v>
      </c>
      <c r="U29" s="57">
        <f t="shared" si="12"/>
        <v>694780.3600000001</v>
      </c>
      <c r="V29" s="57">
        <f t="shared" si="12"/>
        <v>0</v>
      </c>
      <c r="W29" s="57">
        <f t="shared" si="12"/>
        <v>212550</v>
      </c>
      <c r="X29" s="57">
        <f t="shared" si="12"/>
        <v>0</v>
      </c>
      <c r="Y29" s="51">
        <f>SUM(M29:X29)</f>
        <v>19102494.79</v>
      </c>
      <c r="Z29" s="60"/>
      <c r="AA29" s="61"/>
      <c r="AB29" s="84"/>
      <c r="AC29" s="17"/>
      <c r="AD29" s="17"/>
      <c r="AG29" s="20"/>
      <c r="AI29" s="21"/>
    </row>
    <row r="30" spans="1:35" s="71" customFormat="1" ht="43.5" customHeight="1">
      <c r="A30" s="35" t="s">
        <v>53</v>
      </c>
      <c r="B30" s="36" t="s">
        <v>0</v>
      </c>
      <c r="C30" s="69">
        <f>C31+C32+C33</f>
        <v>300</v>
      </c>
      <c r="D30" s="80">
        <v>10018915.92</v>
      </c>
      <c r="E30" s="80">
        <v>3025712.61</v>
      </c>
      <c r="F30" s="80"/>
      <c r="G30" s="80"/>
      <c r="H30" s="80">
        <v>0</v>
      </c>
      <c r="I30" s="80"/>
      <c r="J30" s="80">
        <v>214500</v>
      </c>
      <c r="K30" s="70">
        <f aca="true" t="shared" si="13" ref="K30:K36">SUM(D30:J30)</f>
        <v>13259128.53</v>
      </c>
      <c r="L30" s="68">
        <f>K30/C30</f>
        <v>44197.0951</v>
      </c>
      <c r="M30" s="70">
        <v>15859789.8</v>
      </c>
      <c r="N30" s="70">
        <v>4789656.52</v>
      </c>
      <c r="O30" s="70">
        <f aca="true" t="shared" si="14" ref="O30:X30">O26+O27+O28</f>
        <v>0</v>
      </c>
      <c r="P30" s="70">
        <v>66792.59</v>
      </c>
      <c r="Q30" s="70">
        <f t="shared" si="14"/>
        <v>0</v>
      </c>
      <c r="R30" s="70">
        <v>3949089.35</v>
      </c>
      <c r="S30" s="70">
        <f t="shared" si="14"/>
        <v>0</v>
      </c>
      <c r="T30" s="70">
        <v>650763.34</v>
      </c>
      <c r="U30" s="70">
        <v>792527.41</v>
      </c>
      <c r="V30" s="70">
        <f t="shared" si="14"/>
        <v>0</v>
      </c>
      <c r="W30" s="70">
        <v>327000</v>
      </c>
      <c r="X30" s="70">
        <f t="shared" si="14"/>
        <v>0</v>
      </c>
      <c r="Y30" s="70">
        <f>SUM(M30:X30)</f>
        <v>26435619.01</v>
      </c>
      <c r="Z30" s="68">
        <f aca="true" t="shared" si="15" ref="Z30:Z36">Y30/C30</f>
        <v>88118.73003333334</v>
      </c>
      <c r="AA30" s="70">
        <f>L30+Z30</f>
        <v>132315.82513333333</v>
      </c>
      <c r="AB30" s="83">
        <f>AA30/AA35</f>
        <v>0.9570930933768228</v>
      </c>
      <c r="AC30" s="53">
        <f>K30+Y30</f>
        <v>39694747.54</v>
      </c>
      <c r="AD30" s="53">
        <f>Y30+K30</f>
        <v>39694747.54</v>
      </c>
      <c r="AE30" s="53">
        <f>AE31+AE32+AE33+43259</f>
        <v>39738006.536385715</v>
      </c>
      <c r="AG30" s="72"/>
      <c r="AI30" s="53"/>
    </row>
    <row r="31" spans="1:35" s="54" customFormat="1" ht="75.75" customHeight="1">
      <c r="A31" s="19" t="s">
        <v>46</v>
      </c>
      <c r="B31" s="7" t="s">
        <v>0</v>
      </c>
      <c r="C31" s="49">
        <v>48</v>
      </c>
      <c r="D31" s="64">
        <f>D30/C30*C31+0.01</f>
        <v>1603026.5572000002</v>
      </c>
      <c r="E31" s="64">
        <f>E30/C30*C31</f>
        <v>484114.01759999996</v>
      </c>
      <c r="F31" s="50"/>
      <c r="G31" s="50"/>
      <c r="H31" s="50">
        <f>H30/C30*C31</f>
        <v>0</v>
      </c>
      <c r="I31" s="50"/>
      <c r="J31" s="50">
        <f>J30/C30*C31</f>
        <v>34320</v>
      </c>
      <c r="K31" s="31">
        <f>SUM(D31:J31)-0.01</f>
        <v>2121460.5648000003</v>
      </c>
      <c r="L31" s="68">
        <f>K31/C31</f>
        <v>44197.095100000006</v>
      </c>
      <c r="M31" s="64">
        <f>M30/C30*C31</f>
        <v>2537566.368</v>
      </c>
      <c r="N31" s="64">
        <f>N30/D30*D31</f>
        <v>766345.0479806135</v>
      </c>
      <c r="O31" s="64">
        <f>O30/D30*D31</f>
        <v>0</v>
      </c>
      <c r="P31" s="50">
        <f>P30/D30*D31</f>
        <v>10686.814466666485</v>
      </c>
      <c r="Q31" s="50">
        <f>Q30/D30*D31</f>
        <v>0</v>
      </c>
      <c r="R31" s="50">
        <f>R30/D30*D31-0.01</f>
        <v>631854.2899416335</v>
      </c>
      <c r="S31" s="50">
        <f>S30/D30*D31</f>
        <v>0</v>
      </c>
      <c r="T31" s="50">
        <f>T30/D30*D31</f>
        <v>104122.13504953469</v>
      </c>
      <c r="U31" s="50">
        <f>U30/D30*D31</f>
        <v>126804.3863910311</v>
      </c>
      <c r="V31" s="50">
        <f>V30/D30*D31</f>
        <v>0</v>
      </c>
      <c r="W31" s="50">
        <f>W30/D30*D31</f>
        <v>52320.00032638263</v>
      </c>
      <c r="X31" s="50">
        <f>X30/D30*D31</f>
        <v>0</v>
      </c>
      <c r="Y31" s="50">
        <f>Y30/D30*D31-0.02</f>
        <v>4229699.047985709</v>
      </c>
      <c r="Z31" s="68">
        <f t="shared" si="15"/>
        <v>88118.73016636894</v>
      </c>
      <c r="AA31" s="51">
        <f>L31+Z31</f>
        <v>132315.82526636895</v>
      </c>
      <c r="AB31" s="83">
        <f>AA31/AA35</f>
        <v>0.9570930943391225</v>
      </c>
      <c r="AC31" s="53">
        <f>K31+Y31</f>
        <v>6351159.61278571</v>
      </c>
      <c r="AD31" s="53">
        <f>Y31+K31</f>
        <v>6351159.61278571</v>
      </c>
      <c r="AE31" s="54">
        <f>AA31*C31</f>
        <v>6351159.61278571</v>
      </c>
      <c r="AG31" s="55"/>
      <c r="AI31" s="56"/>
    </row>
    <row r="32" spans="1:35" s="54" customFormat="1" ht="72" customHeight="1">
      <c r="A32" s="19" t="s">
        <v>47</v>
      </c>
      <c r="B32" s="7" t="s">
        <v>0</v>
      </c>
      <c r="C32" s="49">
        <v>247</v>
      </c>
      <c r="D32" s="64">
        <f>D30/C30*C32</f>
        <v>8248907.440800001</v>
      </c>
      <c r="E32" s="64">
        <f>E30/C30*C32</f>
        <v>2491170.0489</v>
      </c>
      <c r="F32" s="50"/>
      <c r="G32" s="50"/>
      <c r="H32" s="50">
        <f>H30/C30*C32</f>
        <v>0</v>
      </c>
      <c r="I32" s="50"/>
      <c r="J32" s="50">
        <f>J30/C30*C32</f>
        <v>176605</v>
      </c>
      <c r="K32" s="31">
        <f t="shared" si="13"/>
        <v>10916682.4897</v>
      </c>
      <c r="L32" s="68">
        <f>K32/C32</f>
        <v>44197.095100000006</v>
      </c>
      <c r="M32" s="64">
        <f>M30/C30*C32</f>
        <v>13057893.602</v>
      </c>
      <c r="N32" s="64">
        <f>N30/D30*D32</f>
        <v>3943483.8681333335</v>
      </c>
      <c r="O32" s="64">
        <f>O30/D30*D32</f>
        <v>0</v>
      </c>
      <c r="P32" s="50">
        <f>P30/D30*D32</f>
        <v>54992.565766666674</v>
      </c>
      <c r="Q32" s="50">
        <f>Q30/D30*D32</f>
        <v>0</v>
      </c>
      <c r="R32" s="50">
        <f>R30/D30*D32</f>
        <v>3251416.898166667</v>
      </c>
      <c r="S32" s="50">
        <f>S30/D30*D32</f>
        <v>0</v>
      </c>
      <c r="T32" s="50">
        <f>T30/D30*D32</f>
        <v>535795.1499333334</v>
      </c>
      <c r="U32" s="50">
        <f>U30/D30*D32</f>
        <v>652514.2342333334</v>
      </c>
      <c r="V32" s="50">
        <f>V30/D30*D32</f>
        <v>0</v>
      </c>
      <c r="W32" s="50">
        <f>W30/D30*D32</f>
        <v>269230.00000000006</v>
      </c>
      <c r="X32" s="50">
        <f>X30/D30*D32</f>
        <v>0</v>
      </c>
      <c r="Y32" s="50">
        <f>Y30/D30*D32</f>
        <v>21765326.318233337</v>
      </c>
      <c r="Z32" s="68">
        <f t="shared" si="15"/>
        <v>88118.73003333336</v>
      </c>
      <c r="AA32" s="51">
        <f>L32+Z32</f>
        <v>132315.82513333336</v>
      </c>
      <c r="AB32" s="83">
        <f>AA32/AA35</f>
        <v>0.957093093376823</v>
      </c>
      <c r="AC32" s="53">
        <f>K32+Y32</f>
        <v>32682008.807933338</v>
      </c>
      <c r="AD32" s="53">
        <f>Y32+K32</f>
        <v>32682008.807933338</v>
      </c>
      <c r="AE32" s="54">
        <f>AA32*C32</f>
        <v>32682008.80793334</v>
      </c>
      <c r="AG32" s="55"/>
      <c r="AI32" s="56"/>
    </row>
    <row r="33" spans="1:35" s="54" customFormat="1" ht="44.25" customHeight="1">
      <c r="A33" s="19" t="s">
        <v>48</v>
      </c>
      <c r="B33" s="7" t="s">
        <v>0</v>
      </c>
      <c r="C33" s="49">
        <v>5</v>
      </c>
      <c r="D33" s="64">
        <f>D30/C30*C33</f>
        <v>166981.93200000003</v>
      </c>
      <c r="E33" s="64">
        <f>E30/C30*C33</f>
        <v>50428.5435</v>
      </c>
      <c r="F33" s="50"/>
      <c r="G33" s="50"/>
      <c r="H33" s="50">
        <f>H30/C30*C33</f>
        <v>0</v>
      </c>
      <c r="I33" s="50"/>
      <c r="J33" s="50">
        <f>J30/C30*C33</f>
        <v>3575</v>
      </c>
      <c r="K33" s="31">
        <f t="shared" si="13"/>
        <v>220985.47550000003</v>
      </c>
      <c r="L33" s="68">
        <f>K33/C33</f>
        <v>44197.095100000006</v>
      </c>
      <c r="M33" s="64">
        <f>M30/C30*C33</f>
        <v>264329.83</v>
      </c>
      <c r="N33" s="64">
        <f>N30/D30*D33</f>
        <v>79827.60866666667</v>
      </c>
      <c r="O33" s="64">
        <f>O30/D30*D33</f>
        <v>0</v>
      </c>
      <c r="P33" s="50">
        <f>P30/D30*D33</f>
        <v>1113.2098333333336</v>
      </c>
      <c r="Q33" s="50">
        <f>Q30/D30*D33</f>
        <v>0</v>
      </c>
      <c r="R33" s="50">
        <f>R30/D30*D33</f>
        <v>65818.15583333335</v>
      </c>
      <c r="S33" s="50">
        <f>S30/D30*D33</f>
        <v>0</v>
      </c>
      <c r="T33" s="50">
        <f>T30/D30*D33</f>
        <v>10846.055666666667</v>
      </c>
      <c r="U33" s="50">
        <f>U30/D30*D33</f>
        <v>13208.79016666667</v>
      </c>
      <c r="V33" s="50">
        <f>V30/D30*D33</f>
        <v>0</v>
      </c>
      <c r="W33" s="50">
        <f>W30/D30*D33</f>
        <v>5450.000000000002</v>
      </c>
      <c r="X33" s="50">
        <f>X30/D30*D33</f>
        <v>0</v>
      </c>
      <c r="Y33" s="50">
        <f>Y30/D30*D33-0.01</f>
        <v>440593.64016666677</v>
      </c>
      <c r="Z33" s="68">
        <f t="shared" si="15"/>
        <v>88118.72803333335</v>
      </c>
      <c r="AA33" s="51">
        <f>L33+Z33</f>
        <v>132315.82313333335</v>
      </c>
      <c r="AB33" s="83">
        <f>AA33/AA35</f>
        <v>0.9570930789100259</v>
      </c>
      <c r="AC33" s="53">
        <f>K33+Y33</f>
        <v>661579.1156666668</v>
      </c>
      <c r="AD33" s="53">
        <f>Y33+K33</f>
        <v>661579.1156666668</v>
      </c>
      <c r="AE33" s="54">
        <f>AA33*C33</f>
        <v>661579.1156666668</v>
      </c>
      <c r="AG33" s="55"/>
      <c r="AI33" s="56"/>
    </row>
    <row r="34" spans="1:35" s="54" customFormat="1" ht="44.25" customHeight="1" hidden="1">
      <c r="A34" s="19"/>
      <c r="B34" s="7" t="s">
        <v>0</v>
      </c>
      <c r="C34" s="49">
        <v>300</v>
      </c>
      <c r="D34" s="57">
        <f>D31+D32+D33-0.01</f>
        <v>10018915.920000002</v>
      </c>
      <c r="E34" s="57">
        <f aca="true" t="shared" si="16" ref="E34:J34">SUM(E31:E33)</f>
        <v>3025712.61</v>
      </c>
      <c r="F34" s="57">
        <f t="shared" si="16"/>
        <v>0</v>
      </c>
      <c r="G34" s="57">
        <f t="shared" si="16"/>
        <v>0</v>
      </c>
      <c r="H34" s="57">
        <f t="shared" si="16"/>
        <v>0</v>
      </c>
      <c r="I34" s="57">
        <f t="shared" si="16"/>
        <v>0</v>
      </c>
      <c r="J34" s="57">
        <f t="shared" si="16"/>
        <v>214500</v>
      </c>
      <c r="K34" s="31">
        <f t="shared" si="13"/>
        <v>13259128.530000001</v>
      </c>
      <c r="L34" s="60"/>
      <c r="M34" s="57">
        <f>M31+M32+M33</f>
        <v>15859789.799999999</v>
      </c>
      <c r="N34" s="57">
        <f aca="true" t="shared" si="17" ref="N34:W34">N31+N32+N33</f>
        <v>4789656.524780613</v>
      </c>
      <c r="O34" s="57">
        <f t="shared" si="17"/>
        <v>0</v>
      </c>
      <c r="P34" s="57">
        <f t="shared" si="17"/>
        <v>66792.59006666648</v>
      </c>
      <c r="Q34" s="57">
        <f t="shared" si="17"/>
        <v>0</v>
      </c>
      <c r="R34" s="57">
        <f>R31+R32+R33+0.01</f>
        <v>3949089.353941634</v>
      </c>
      <c r="S34" s="57">
        <f t="shared" si="17"/>
        <v>0</v>
      </c>
      <c r="T34" s="57">
        <f t="shared" si="17"/>
        <v>650763.3406495348</v>
      </c>
      <c r="U34" s="57">
        <f t="shared" si="17"/>
        <v>792527.4107910311</v>
      </c>
      <c r="V34" s="57">
        <f t="shared" si="17"/>
        <v>0</v>
      </c>
      <c r="W34" s="57">
        <f t="shared" si="17"/>
        <v>327000.0003263827</v>
      </c>
      <c r="X34" s="57">
        <f>X31+X32+X33</f>
        <v>0</v>
      </c>
      <c r="Y34" s="51">
        <f>SUM(M34:X34)-0.01</f>
        <v>26435619.010555863</v>
      </c>
      <c r="Z34" s="68">
        <f t="shared" si="15"/>
        <v>88118.7300351862</v>
      </c>
      <c r="AA34" s="61"/>
      <c r="AB34" s="83" t="e">
        <f>AA34/AA36</f>
        <v>#DIV/0!</v>
      </c>
      <c r="AC34" s="53"/>
      <c r="AD34" s="53"/>
      <c r="AG34" s="55"/>
      <c r="AI34" s="56"/>
    </row>
    <row r="35" spans="1:35" s="10" customFormat="1" ht="24.75" customHeight="1">
      <c r="A35" s="8" t="s">
        <v>11</v>
      </c>
      <c r="B35" s="9" t="s">
        <v>0</v>
      </c>
      <c r="C35" s="6">
        <f>C9+C15+C20+C25+C30</f>
        <v>1150</v>
      </c>
      <c r="D35" s="73">
        <f aca="true" t="shared" si="18" ref="D35:J35">D9+D15+D20+D25+D30</f>
        <v>38660011.08</v>
      </c>
      <c r="E35" s="73">
        <f t="shared" si="18"/>
        <v>11675323.34</v>
      </c>
      <c r="F35" s="6">
        <f t="shared" si="18"/>
        <v>0</v>
      </c>
      <c r="G35" s="6">
        <f t="shared" si="18"/>
        <v>0</v>
      </c>
      <c r="H35" s="73">
        <f t="shared" si="18"/>
        <v>0</v>
      </c>
      <c r="I35" s="6">
        <f t="shared" si="18"/>
        <v>0</v>
      </c>
      <c r="J35" s="73">
        <f t="shared" si="18"/>
        <v>836550</v>
      </c>
      <c r="K35" s="73">
        <f t="shared" si="13"/>
        <v>51171884.42</v>
      </c>
      <c r="L35" s="28">
        <f>K35/C35</f>
        <v>44497.2908</v>
      </c>
      <c r="M35" s="73">
        <f aca="true" t="shared" si="19" ref="M35:X35">M9+M15+M20+M25+M30</f>
        <v>65373801.239999995</v>
      </c>
      <c r="N35" s="73">
        <f t="shared" si="19"/>
        <v>19742887.97</v>
      </c>
      <c r="O35" s="73">
        <f t="shared" si="19"/>
        <v>0</v>
      </c>
      <c r="P35" s="73">
        <f t="shared" si="19"/>
        <v>331539.94999999995</v>
      </c>
      <c r="Q35" s="73">
        <f t="shared" si="19"/>
        <v>0</v>
      </c>
      <c r="R35" s="73">
        <f t="shared" si="19"/>
        <v>14199142.5</v>
      </c>
      <c r="S35" s="73">
        <f t="shared" si="19"/>
        <v>0</v>
      </c>
      <c r="T35" s="73">
        <f t="shared" si="19"/>
        <v>2961541.42</v>
      </c>
      <c r="U35" s="73">
        <f t="shared" si="19"/>
        <v>3928644.9</v>
      </c>
      <c r="V35" s="73">
        <f t="shared" si="19"/>
        <v>0</v>
      </c>
      <c r="W35" s="73">
        <f t="shared" si="19"/>
        <v>1275300</v>
      </c>
      <c r="X35" s="73">
        <f t="shared" si="19"/>
        <v>0</v>
      </c>
      <c r="Y35" s="5">
        <f>SUM(M35:X35)</f>
        <v>107812857.98</v>
      </c>
      <c r="Z35" s="68">
        <f t="shared" si="15"/>
        <v>93750.31128695652</v>
      </c>
      <c r="AA35" s="74">
        <f>L35+Z35</f>
        <v>138247.60208695653</v>
      </c>
      <c r="AB35" s="83" t="e">
        <f>AA35/AA37</f>
        <v>#DIV/0!</v>
      </c>
      <c r="AC35" s="13">
        <f>K35+Y35</f>
        <v>158984742.4</v>
      </c>
      <c r="AI35" s="20"/>
    </row>
    <row r="36" spans="1:29" s="54" customFormat="1" ht="31.5" customHeight="1" hidden="1">
      <c r="A36" s="62" t="s">
        <v>55</v>
      </c>
      <c r="B36" s="62"/>
      <c r="C36" s="81">
        <f>C14+C19+C24+C29+C34</f>
        <v>1170</v>
      </c>
      <c r="D36" s="58">
        <f aca="true" t="shared" si="20" ref="D36:J36">D14+D19+D24+D29+D34</f>
        <v>38626499.85514286</v>
      </c>
      <c r="E36" s="58">
        <f t="shared" si="20"/>
        <v>11665202.950107142</v>
      </c>
      <c r="F36" s="81">
        <f t="shared" si="20"/>
        <v>0</v>
      </c>
      <c r="G36" s="81">
        <f t="shared" si="20"/>
        <v>0</v>
      </c>
      <c r="H36" s="58">
        <f t="shared" si="20"/>
        <v>0</v>
      </c>
      <c r="I36" s="81">
        <f t="shared" si="20"/>
        <v>0</v>
      </c>
      <c r="J36" s="58">
        <f t="shared" si="20"/>
        <v>835835</v>
      </c>
      <c r="K36" s="59">
        <f t="shared" si="13"/>
        <v>51127537.805250004</v>
      </c>
      <c r="L36" s="68">
        <f>K36/C36</f>
        <v>43698.75026089744</v>
      </c>
      <c r="M36" s="58">
        <f>M14+M19+M24+M29+M34</f>
        <v>65325955.45842856</v>
      </c>
      <c r="N36" s="58">
        <f aca="true" t="shared" si="21" ref="N36:Y36">N14+N19+N24+N29+N34</f>
        <v>19728438.552809462</v>
      </c>
      <c r="O36" s="58">
        <f t="shared" si="21"/>
        <v>0</v>
      </c>
      <c r="P36" s="58">
        <f t="shared" si="21"/>
        <v>331344.93251542555</v>
      </c>
      <c r="Q36" s="58">
        <f t="shared" si="21"/>
        <v>0</v>
      </c>
      <c r="R36" s="58">
        <f t="shared" si="21"/>
        <v>14184044.437679222</v>
      </c>
      <c r="S36" s="58">
        <f t="shared" si="21"/>
        <v>0</v>
      </c>
      <c r="T36" s="58">
        <f t="shared" si="21"/>
        <v>2959163.7097657267</v>
      </c>
      <c r="U36" s="58">
        <f t="shared" si="21"/>
        <v>3925409.7789832475</v>
      </c>
      <c r="V36" s="58">
        <f t="shared" si="21"/>
        <v>0</v>
      </c>
      <c r="W36" s="58">
        <f t="shared" si="21"/>
        <v>1274209.9999921569</v>
      </c>
      <c r="X36" s="58">
        <f t="shared" si="21"/>
        <v>0</v>
      </c>
      <c r="Y36" s="58">
        <f t="shared" si="21"/>
        <v>107728566.8601738</v>
      </c>
      <c r="Z36" s="68">
        <f t="shared" si="15"/>
        <v>92075.69817108872</v>
      </c>
      <c r="AA36" s="51"/>
      <c r="AB36" s="66" t="e">
        <f>AA36/AA38</f>
        <v>#DIV/0!</v>
      </c>
      <c r="AC36" s="63"/>
    </row>
    <row r="37" spans="1:35" s="16" customFormat="1" ht="24.75" customHeight="1">
      <c r="A37" s="42"/>
      <c r="B37" s="42"/>
      <c r="C37" s="43"/>
      <c r="D37" s="44"/>
      <c r="E37" s="44"/>
      <c r="F37" s="44"/>
      <c r="G37" s="44"/>
      <c r="H37" s="44"/>
      <c r="I37" s="44"/>
      <c r="J37" s="44"/>
      <c r="K37" s="45"/>
      <c r="L37" s="77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79"/>
      <c r="AA37" s="45"/>
      <c r="AB37" s="46"/>
      <c r="AC37" s="17"/>
      <c r="AD37" s="17"/>
      <c r="AE37" s="10"/>
      <c r="AG37" s="34"/>
      <c r="AI37" s="39"/>
    </row>
    <row r="38" spans="1:35" s="16" customFormat="1" ht="24.75" customHeight="1">
      <c r="A38" s="42"/>
      <c r="B38" s="42"/>
      <c r="C38" s="43"/>
      <c r="D38" s="44"/>
      <c r="E38" s="44"/>
      <c r="F38" s="44"/>
      <c r="G38" s="44"/>
      <c r="H38" s="44"/>
      <c r="I38" s="44"/>
      <c r="J38" s="44"/>
      <c r="K38" s="47" t="s">
        <v>44</v>
      </c>
      <c r="L38" s="78"/>
      <c r="M38" s="47"/>
      <c r="N38" s="47"/>
      <c r="O38" s="47"/>
      <c r="P38" s="47"/>
      <c r="Q38" s="47" t="s">
        <v>45</v>
      </c>
      <c r="R38" s="47"/>
      <c r="X38" s="45"/>
      <c r="Y38" s="45"/>
      <c r="Z38" s="79"/>
      <c r="AA38" s="45"/>
      <c r="AB38" s="46"/>
      <c r="AC38" s="17"/>
      <c r="AD38" s="17"/>
      <c r="AE38" s="10"/>
      <c r="AG38" s="34"/>
      <c r="AI38" s="39"/>
    </row>
    <row r="39" spans="1:35" s="16" customFormat="1" ht="24.75" customHeight="1">
      <c r="A39" s="42"/>
      <c r="B39" s="42"/>
      <c r="C39" s="43"/>
      <c r="D39" s="44"/>
      <c r="E39" s="44"/>
      <c r="F39" s="44"/>
      <c r="G39" s="44"/>
      <c r="H39" s="44"/>
      <c r="I39" s="44"/>
      <c r="J39" s="44"/>
      <c r="K39" s="45"/>
      <c r="L39" s="77"/>
      <c r="M39" s="45"/>
      <c r="N39" s="45"/>
      <c r="O39" s="45"/>
      <c r="P39" s="45"/>
      <c r="Q39" s="45"/>
      <c r="R39" s="45"/>
      <c r="X39" s="45"/>
      <c r="Y39" s="45"/>
      <c r="Z39" s="79"/>
      <c r="AA39" s="45"/>
      <c r="AB39" s="46"/>
      <c r="AC39" s="17"/>
      <c r="AD39" s="17"/>
      <c r="AE39" s="10"/>
      <c r="AG39" s="34"/>
      <c r="AI39" s="39"/>
    </row>
    <row r="40" spans="1:35" s="16" customFormat="1" ht="24.75" customHeight="1">
      <c r="A40" s="42"/>
      <c r="B40" s="42"/>
      <c r="C40" s="43"/>
      <c r="D40" s="44"/>
      <c r="E40" s="44"/>
      <c r="F40" s="44"/>
      <c r="G40" s="44"/>
      <c r="H40" s="44"/>
      <c r="I40" s="44"/>
      <c r="J40" s="44"/>
      <c r="K40" s="45"/>
      <c r="L40" s="77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79"/>
      <c r="AA40" s="45"/>
      <c r="AB40" s="46"/>
      <c r="AC40" s="17"/>
      <c r="AD40" s="17"/>
      <c r="AE40" s="10"/>
      <c r="AG40" s="34"/>
      <c r="AI40" s="39"/>
    </row>
    <row r="41" spans="1:35" s="16" customFormat="1" ht="32.25" customHeight="1">
      <c r="A41" s="48" t="s">
        <v>54</v>
      </c>
      <c r="B41" s="42"/>
      <c r="C41" s="43"/>
      <c r="D41" s="44"/>
      <c r="E41" s="44"/>
      <c r="F41" s="44"/>
      <c r="G41" s="44"/>
      <c r="H41" s="44"/>
      <c r="I41" s="44"/>
      <c r="J41" s="44"/>
      <c r="K41" s="45"/>
      <c r="L41" s="77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79"/>
      <c r="AA41" s="45"/>
      <c r="AB41" s="46"/>
      <c r="AC41" s="17"/>
      <c r="AD41" s="17"/>
      <c r="AE41" s="10"/>
      <c r="AG41" s="34"/>
      <c r="AI41" s="39"/>
    </row>
    <row r="42" spans="12:26" ht="12.75">
      <c r="L42" s="12"/>
      <c r="Z42" s="12"/>
    </row>
    <row r="44" spans="4:24" ht="12.75">
      <c r="D44" s="4"/>
      <c r="F44" s="4"/>
      <c r="X44" s="30" t="s">
        <v>39</v>
      </c>
    </row>
    <row r="45" spans="4:26" ht="12.75">
      <c r="D45" s="4"/>
      <c r="F45" s="4"/>
      <c r="M45" s="10">
        <v>0</v>
      </c>
      <c r="R45" s="4"/>
      <c r="W45" s="30" t="s">
        <v>38</v>
      </c>
      <c r="X45">
        <v>21460108</v>
      </c>
      <c r="Y45" s="3" t="e">
        <f>#REF!</f>
        <v>#REF!</v>
      </c>
      <c r="Z45" s="32" t="e">
        <f>X45/Y45</f>
        <v>#REF!</v>
      </c>
    </row>
    <row r="47" spans="17:25" ht="12.75">
      <c r="Q47">
        <v>12441834</v>
      </c>
      <c r="Y47" s="3" t="e">
        <f>Y45*Z45</f>
        <v>#REF!</v>
      </c>
    </row>
    <row r="48" spans="23:26" ht="12.75">
      <c r="W48" s="30" t="s">
        <v>40</v>
      </c>
      <c r="X48">
        <v>16255949</v>
      </c>
      <c r="Y48" s="3">
        <v>17236125.93</v>
      </c>
      <c r="Z48" s="32">
        <f>X48/Y48</f>
        <v>0.9431324107296076</v>
      </c>
    </row>
    <row r="49" ht="12.75">
      <c r="Y49" s="3">
        <f>Y48*Z48</f>
        <v>16255949</v>
      </c>
    </row>
    <row r="51" spans="23:26" ht="12.75">
      <c r="W51" s="30" t="s">
        <v>41</v>
      </c>
      <c r="X51">
        <v>9696453</v>
      </c>
      <c r="Y51" s="3">
        <v>10979190.46</v>
      </c>
      <c r="Z51" s="32">
        <f>X51/Y51</f>
        <v>0.8831664807461587</v>
      </c>
    </row>
    <row r="52" ht="12.75">
      <c r="Y52" s="3">
        <f>Y51*Z51</f>
        <v>9696453</v>
      </c>
    </row>
    <row r="54" spans="23:26" ht="12.75">
      <c r="W54" s="30" t="s">
        <v>42</v>
      </c>
      <c r="X54">
        <v>27104870</v>
      </c>
      <c r="Y54" s="3">
        <v>29880340.41</v>
      </c>
      <c r="Z54" s="32">
        <f>X54/Y54</f>
        <v>0.9071138289618971</v>
      </c>
    </row>
    <row r="55" ht="12.75">
      <c r="Y55" s="3">
        <f>Y54*Z54</f>
        <v>27104870</v>
      </c>
    </row>
    <row r="58" spans="23:26" ht="12.75">
      <c r="W58" s="30" t="s">
        <v>43</v>
      </c>
      <c r="X58">
        <v>4459460</v>
      </c>
      <c r="Y58" s="3">
        <v>4510593.16</v>
      </c>
      <c r="Z58" s="32">
        <f>X58/Y58</f>
        <v>0.9886637614641353</v>
      </c>
    </row>
    <row r="59" ht="12.75">
      <c r="Y59" s="3">
        <f>Y58*Z58</f>
        <v>4459460</v>
      </c>
    </row>
  </sheetData>
  <sheetProtection/>
  <mergeCells count="15">
    <mergeCell ref="AB6:AB8"/>
    <mergeCell ref="D7:E7"/>
    <mergeCell ref="F7:G7"/>
    <mergeCell ref="K7:K8"/>
    <mergeCell ref="L7:L8"/>
    <mergeCell ref="M7:N7"/>
    <mergeCell ref="S7:V7"/>
    <mergeCell ref="Y7:Y8"/>
    <mergeCell ref="Z7:Z8"/>
    <mergeCell ref="A6:A8"/>
    <mergeCell ref="B6:B8"/>
    <mergeCell ref="C6:C8"/>
    <mergeCell ref="D6:L6"/>
    <mergeCell ref="M6:Z6"/>
    <mergeCell ref="AA6:AA8"/>
  </mergeCells>
  <printOptions/>
  <pageMargins left="0.7086614173228347" right="0.31496062992125984" top="0.35433070866141736" bottom="0.35433070866141736" header="0.31496062992125984" footer="0.31496062992125984"/>
  <pageSetup fitToHeight="2" fitToWidth="2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ПЭО1</cp:lastModifiedBy>
  <cp:lastPrinted>2023-03-15T03:07:49Z</cp:lastPrinted>
  <dcterms:created xsi:type="dcterms:W3CDTF">1996-10-08T23:32:33Z</dcterms:created>
  <dcterms:modified xsi:type="dcterms:W3CDTF">2023-03-15T03:08:30Z</dcterms:modified>
  <cp:category/>
  <cp:version/>
  <cp:contentType/>
  <cp:contentStatus/>
</cp:coreProperties>
</file>